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ndabergkommune.sharepoint.com/sites/HP/Delte dokumenter/2026-2029/"/>
    </mc:Choice>
  </mc:AlternateContent>
  <xr:revisionPtr revIDLastSave="767" documentId="8_{1A60D2BA-F81A-4395-B38A-2532C65B2210}" xr6:coauthVersionLast="47" xr6:coauthVersionMax="47" xr10:uidLastSave="{985638B6-CE79-46B2-B58D-79AFAFAF9103}"/>
  <bookViews>
    <workbookView xWindow="28680" yWindow="-120" windowWidth="29040" windowHeight="15720" tabRatio="873" xr2:uid="{00000000-000D-0000-FFFF-FFFF00000000}"/>
  </bookViews>
  <sheets>
    <sheet name="FORSIDE" sheetId="7" r:id="rId1"/>
    <sheet name="NYE DRIFTSTILTAK" sheetId="4" r:id="rId2"/>
    <sheet name="NYE INVESTERINGSTILTAK" sheetId="5" r:id="rId3"/>
    <sheet name="KOMMUNEDIREKTØRENS DRIFTSTILTAK" sheetId="6" r:id="rId4"/>
    <sheet name="KOMMUNEDIR. INVESTERINGSTILTAK" sheetId="3" r:id="rId5"/>
    <sheet name="DATA" sheetId="2" state="hidden" r:id="rId6"/>
    <sheet name="BEREGNING NØKKELTALL" sheetId="8" state="hidden" r:id="rId7"/>
  </sheets>
  <definedNames>
    <definedName name="BUDSJETTRENTE2022">DATA!$F$7</definedName>
    <definedName name="BUDSJETTRENTE2023">DATA!$G$7</definedName>
    <definedName name="BUDSJETTRENTE2024">DATA!$H$7</definedName>
    <definedName name="BUDSJETTRENTE2025">DATA!$I$7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0" i="8" l="1"/>
  <c r="M70" i="8"/>
  <c r="N70" i="8"/>
  <c r="K70" i="8"/>
  <c r="D100" i="8"/>
  <c r="D95" i="8"/>
  <c r="D90" i="8"/>
  <c r="D85" i="8"/>
  <c r="M20" i="4"/>
  <c r="L20" i="4"/>
  <c r="K20" i="4"/>
  <c r="J20" i="4"/>
  <c r="M13" i="4"/>
  <c r="L13" i="4"/>
  <c r="K13" i="4"/>
  <c r="J13" i="4"/>
  <c r="C73" i="6" l="1"/>
  <c r="D73" i="6"/>
  <c r="E73" i="6"/>
  <c r="B73" i="6"/>
  <c r="G50" i="4"/>
  <c r="G51" i="4"/>
  <c r="C34" i="5" l="1"/>
  <c r="D34" i="5"/>
  <c r="B34" i="5"/>
  <c r="E34" i="4" l="1"/>
  <c r="D34" i="4"/>
  <c r="C34" i="4"/>
  <c r="B34" i="4"/>
  <c r="E20" i="4"/>
  <c r="D20" i="4"/>
  <c r="C20" i="4"/>
  <c r="B20" i="4"/>
  <c r="E13" i="4"/>
  <c r="D13" i="4"/>
  <c r="C13" i="4"/>
  <c r="B13" i="4"/>
  <c r="C66" i="3" l="1"/>
  <c r="D66" i="3"/>
  <c r="E66" i="3"/>
  <c r="B66" i="3"/>
  <c r="I93" i="8"/>
  <c r="O91" i="8" s="1"/>
  <c r="O92" i="8" s="1"/>
  <c r="I98" i="8"/>
  <c r="O96" i="8" s="1"/>
  <c r="O97" i="8" s="1"/>
  <c r="I88" i="8"/>
  <c r="O86" i="8" s="1"/>
  <c r="O87" i="8" s="1"/>
  <c r="I84" i="8"/>
  <c r="K84" i="8"/>
  <c r="H85" i="8"/>
  <c r="I85" i="8"/>
  <c r="P85" i="8"/>
  <c r="P90" i="8" s="1"/>
  <c r="P95" i="8" s="1"/>
  <c r="P100" i="8" s="1"/>
  <c r="H86" i="8"/>
  <c r="H87" i="8"/>
  <c r="I89" i="8"/>
  <c r="K89" i="8"/>
  <c r="H90" i="8"/>
  <c r="H91" i="8"/>
  <c r="H92" i="8"/>
  <c r="I94" i="8"/>
  <c r="K94" i="8"/>
  <c r="H95" i="8"/>
  <c r="H96" i="8"/>
  <c r="H97" i="8"/>
  <c r="I99" i="8"/>
  <c r="K99" i="8"/>
  <c r="H100" i="8"/>
  <c r="H101" i="8"/>
  <c r="H102" i="8"/>
  <c r="K72" i="8" l="1"/>
  <c r="D87" i="8" s="1"/>
  <c r="B28" i="4"/>
  <c r="C28" i="4"/>
  <c r="D28" i="4"/>
  <c r="E28" i="4"/>
  <c r="I87" i="8" l="1"/>
  <c r="C21" i="4"/>
  <c r="B21" i="4"/>
  <c r="B30" i="4" s="1"/>
  <c r="B31" i="4" s="1"/>
  <c r="E21" i="4"/>
  <c r="E30" i="4" s="1"/>
  <c r="E31" i="4" s="1"/>
  <c r="I100" i="8" s="1"/>
  <c r="D21" i="4"/>
  <c r="D30" i="4" s="1"/>
  <c r="D31" i="4" s="1"/>
  <c r="I95" i="8" s="1"/>
  <c r="H51" i="4"/>
  <c r="I51" i="4"/>
  <c r="C30" i="4" l="1"/>
  <c r="C31" i="4" s="1"/>
  <c r="I90" i="8" s="1"/>
  <c r="I69" i="8" l="1"/>
  <c r="J69" i="8"/>
  <c r="J71" i="8" s="1"/>
  <c r="O69" i="8"/>
  <c r="H69" i="8"/>
  <c r="H71" i="8"/>
  <c r="H72" i="8"/>
  <c r="J72" i="8" l="1"/>
  <c r="S1" i="8"/>
  <c r="R1" i="8"/>
  <c r="Q1" i="8"/>
  <c r="P1" i="8"/>
  <c r="J50" i="8"/>
  <c r="J49" i="8" s="1"/>
  <c r="K50" i="8"/>
  <c r="K49" i="8" s="1"/>
  <c r="L50" i="8"/>
  <c r="L49" i="8" s="1"/>
  <c r="M50" i="8"/>
  <c r="M49" i="8" s="1"/>
  <c r="N50" i="8"/>
  <c r="N49" i="8" s="1"/>
  <c r="J41" i="8"/>
  <c r="J40" i="8" s="1"/>
  <c r="K41" i="8"/>
  <c r="K40" i="8" s="1"/>
  <c r="J36" i="8"/>
  <c r="K36" i="8"/>
  <c r="L36" i="8"/>
  <c r="M36" i="8"/>
  <c r="N36" i="8"/>
  <c r="J32" i="8"/>
  <c r="K32" i="8"/>
  <c r="L32" i="8"/>
  <c r="M32" i="8"/>
  <c r="N32" i="8"/>
  <c r="J28" i="8"/>
  <c r="K28" i="8"/>
  <c r="J20" i="8"/>
  <c r="J13" i="8" s="1"/>
  <c r="J26" i="8" s="1"/>
  <c r="K20" i="8"/>
  <c r="L20" i="8"/>
  <c r="M20" i="8"/>
  <c r="N20" i="8"/>
  <c r="J15" i="8"/>
  <c r="K15" i="8"/>
  <c r="K13" i="8" s="1"/>
  <c r="L15" i="8"/>
  <c r="L13" i="8" s="1"/>
  <c r="L26" i="8" s="1"/>
  <c r="M15" i="8"/>
  <c r="M13" i="8" s="1"/>
  <c r="N15" i="8"/>
  <c r="J6" i="8"/>
  <c r="K6" i="8"/>
  <c r="L6" i="8"/>
  <c r="M6" i="8"/>
  <c r="N6" i="8"/>
  <c r="J3" i="8"/>
  <c r="K3" i="8"/>
  <c r="L3" i="8"/>
  <c r="M3" i="8"/>
  <c r="N3" i="8"/>
  <c r="J2" i="8"/>
  <c r="L2" i="8"/>
  <c r="H50" i="8"/>
  <c r="H49" i="8" s="1"/>
  <c r="I50" i="8"/>
  <c r="I49" i="8" s="1"/>
  <c r="H41" i="8"/>
  <c r="H40" i="8" s="1"/>
  <c r="I41" i="8"/>
  <c r="I40" i="8" s="1"/>
  <c r="H36" i="8"/>
  <c r="I36" i="8"/>
  <c r="H32" i="8"/>
  <c r="I32" i="8"/>
  <c r="H28" i="8"/>
  <c r="H27" i="8" s="1"/>
  <c r="H57" i="8" s="1"/>
  <c r="I28" i="8"/>
  <c r="H20" i="8"/>
  <c r="I20" i="8"/>
  <c r="H15" i="8"/>
  <c r="H13" i="8" s="1"/>
  <c r="I15" i="8"/>
  <c r="H6" i="8"/>
  <c r="I6" i="8"/>
  <c r="H3" i="8"/>
  <c r="I3" i="8"/>
  <c r="K27" i="8" l="1"/>
  <c r="J27" i="8"/>
  <c r="J57" i="8" s="1"/>
  <c r="K2" i="8"/>
  <c r="K26" i="8" s="1"/>
  <c r="K57" i="8"/>
  <c r="N13" i="8"/>
  <c r="N26" i="8" s="1"/>
  <c r="N2" i="8"/>
  <c r="M2" i="8"/>
  <c r="M26" i="8" s="1"/>
  <c r="I27" i="8"/>
  <c r="I57" i="8" s="1"/>
  <c r="I13" i="8"/>
  <c r="I2" i="8"/>
  <c r="H2" i="8"/>
  <c r="H26" i="8" s="1"/>
  <c r="I26" i="8" l="1"/>
  <c r="A44" i="5" l="1"/>
  <c r="A45" i="5" s="1"/>
  <c r="B45" i="5" s="1"/>
  <c r="A46" i="5" s="1"/>
  <c r="A47" i="5" s="1"/>
  <c r="B47" i="5" s="1"/>
  <c r="A48" i="5" s="1"/>
  <c r="B48" i="5" s="1"/>
  <c r="A49" i="5" s="1"/>
  <c r="B49" i="5" s="1"/>
  <c r="A50" i="5" s="1"/>
  <c r="B31" i="5"/>
  <c r="C209" i="7"/>
  <c r="A209" i="7"/>
  <c r="B206" i="7"/>
  <c r="A206" i="7"/>
  <c r="B170" i="7"/>
  <c r="B167" i="7"/>
  <c r="A163" i="7"/>
  <c r="C157" i="7"/>
  <c r="A157" i="7"/>
  <c r="B154" i="7"/>
  <c r="A154" i="7"/>
  <c r="B118" i="7"/>
  <c r="B115" i="7"/>
  <c r="A111" i="7"/>
  <c r="A52" i="4" l="1"/>
  <c r="F52" i="4"/>
  <c r="G52" i="4"/>
  <c r="H52" i="4"/>
  <c r="I52" i="4"/>
  <c r="B14" i="7"/>
  <c r="F66" i="7" s="1"/>
  <c r="A59" i="7"/>
  <c r="A162" i="7"/>
  <c r="E165" i="7" s="1"/>
  <c r="A161" i="7"/>
  <c r="A165" i="7" s="1"/>
  <c r="A110" i="7"/>
  <c r="E113" i="7" s="1"/>
  <c r="A109" i="7"/>
  <c r="A113" i="7" s="1"/>
  <c r="A58" i="7"/>
  <c r="E61" i="7" s="1"/>
  <c r="A57" i="7"/>
  <c r="A61" i="7" s="1"/>
  <c r="A6" i="7"/>
  <c r="E9" i="7" s="1"/>
  <c r="A5" i="7"/>
  <c r="A9" i="7" s="1"/>
  <c r="C105" i="7"/>
  <c r="A105" i="7"/>
  <c r="B102" i="7"/>
  <c r="A102" i="7"/>
  <c r="B66" i="7"/>
  <c r="B63" i="7"/>
  <c r="C53" i="7"/>
  <c r="H53" i="7" s="1"/>
  <c r="B50" i="7"/>
  <c r="H50" i="7" s="1"/>
  <c r="A53" i="7"/>
  <c r="E53" i="7" s="1"/>
  <c r="A50" i="7"/>
  <c r="E50" i="7" s="1"/>
  <c r="B11" i="7"/>
  <c r="A7" i="7"/>
  <c r="Q59" i="8"/>
  <c r="S59" i="8" s="1"/>
  <c r="Q60" i="8"/>
  <c r="S60" i="8" s="1"/>
  <c r="Q61" i="8"/>
  <c r="S61" i="8" s="1"/>
  <c r="P60" i="8"/>
  <c r="R60" i="8" s="1"/>
  <c r="P61" i="8"/>
  <c r="R61" i="8" s="1"/>
  <c r="P59" i="8"/>
  <c r="P57" i="8" s="1"/>
  <c r="C10" i="5"/>
  <c r="D10" i="5"/>
  <c r="E10" i="5"/>
  <c r="E34" i="5" s="1"/>
  <c r="I103" i="8" s="1"/>
  <c r="O101" i="8" s="1"/>
  <c r="O102" i="8" s="1"/>
  <c r="B10" i="5"/>
  <c r="Q2" i="8"/>
  <c r="R2" i="8"/>
  <c r="S2" i="8"/>
  <c r="Q3" i="8"/>
  <c r="R3" i="8"/>
  <c r="S3" i="8"/>
  <c r="Q4" i="8"/>
  <c r="R4" i="8"/>
  <c r="S4" i="8"/>
  <c r="Q5" i="8"/>
  <c r="R5" i="8"/>
  <c r="S5" i="8"/>
  <c r="Q6" i="8"/>
  <c r="R6" i="8"/>
  <c r="S6" i="8"/>
  <c r="Q7" i="8"/>
  <c r="R7" i="8"/>
  <c r="S7" i="8"/>
  <c r="Q8" i="8"/>
  <c r="R8" i="8"/>
  <c r="S8" i="8"/>
  <c r="Q9" i="8"/>
  <c r="R9" i="8"/>
  <c r="S9" i="8"/>
  <c r="Q10" i="8"/>
  <c r="R10" i="8"/>
  <c r="S10" i="8"/>
  <c r="Q11" i="8"/>
  <c r="R11" i="8"/>
  <c r="S11" i="8"/>
  <c r="Q12" i="8"/>
  <c r="R12" i="8"/>
  <c r="S12" i="8"/>
  <c r="Q13" i="8"/>
  <c r="R13" i="8"/>
  <c r="S13" i="8"/>
  <c r="Q15" i="8"/>
  <c r="R15" i="8"/>
  <c r="S15" i="8"/>
  <c r="Q16" i="8"/>
  <c r="R16" i="8"/>
  <c r="S16" i="8"/>
  <c r="Q17" i="8"/>
  <c r="R17" i="8"/>
  <c r="S17" i="8"/>
  <c r="Q18" i="8"/>
  <c r="R18" i="8"/>
  <c r="S18" i="8"/>
  <c r="Q19" i="8"/>
  <c r="R19" i="8"/>
  <c r="S19" i="8"/>
  <c r="Q20" i="8"/>
  <c r="R20" i="8"/>
  <c r="S20" i="8"/>
  <c r="Q21" i="8"/>
  <c r="R21" i="8"/>
  <c r="S21" i="8"/>
  <c r="Q22" i="8"/>
  <c r="R22" i="8"/>
  <c r="S22" i="8"/>
  <c r="Q23" i="8"/>
  <c r="R23" i="8"/>
  <c r="S23" i="8"/>
  <c r="Q24" i="8"/>
  <c r="R24" i="8"/>
  <c r="S24" i="8"/>
  <c r="Q25" i="8"/>
  <c r="R25" i="8"/>
  <c r="S25" i="8"/>
  <c r="Q26" i="8"/>
  <c r="R26" i="8"/>
  <c r="S26" i="8"/>
  <c r="Q30" i="8"/>
  <c r="R30" i="8"/>
  <c r="S30" i="8"/>
  <c r="Q31" i="8"/>
  <c r="R31" i="8"/>
  <c r="S31" i="8"/>
  <c r="Q32" i="8"/>
  <c r="R32" i="8"/>
  <c r="S32" i="8"/>
  <c r="Q33" i="8"/>
  <c r="R33" i="8"/>
  <c r="S33" i="8"/>
  <c r="Q34" i="8"/>
  <c r="R34" i="8"/>
  <c r="S34" i="8"/>
  <c r="Q35" i="8"/>
  <c r="R35" i="8"/>
  <c r="S35" i="8"/>
  <c r="Q36" i="8"/>
  <c r="R36" i="8"/>
  <c r="S36" i="8"/>
  <c r="Q37" i="8"/>
  <c r="R37" i="8"/>
  <c r="S37" i="8"/>
  <c r="Q38" i="8"/>
  <c r="R38" i="8"/>
  <c r="S38" i="8"/>
  <c r="Q39" i="8"/>
  <c r="R39" i="8"/>
  <c r="S39" i="8"/>
  <c r="Q43" i="8"/>
  <c r="R43" i="8"/>
  <c r="S43" i="8"/>
  <c r="Q44" i="8"/>
  <c r="R44" i="8"/>
  <c r="S44" i="8"/>
  <c r="Q45" i="8"/>
  <c r="R45" i="8"/>
  <c r="S45" i="8"/>
  <c r="Q46" i="8"/>
  <c r="R46" i="8"/>
  <c r="S46" i="8"/>
  <c r="Q47" i="8"/>
  <c r="R47" i="8"/>
  <c r="S47" i="8"/>
  <c r="Q48" i="8"/>
  <c r="R48" i="8"/>
  <c r="S48" i="8"/>
  <c r="Q49" i="8"/>
  <c r="R49" i="8"/>
  <c r="S49" i="8"/>
  <c r="Q50" i="8"/>
  <c r="R50" i="8"/>
  <c r="S50" i="8"/>
  <c r="Q51" i="8"/>
  <c r="R51" i="8"/>
  <c r="S51" i="8"/>
  <c r="Q52" i="8"/>
  <c r="R52" i="8"/>
  <c r="S52" i="8"/>
  <c r="Q53" i="8"/>
  <c r="R53" i="8"/>
  <c r="S53" i="8"/>
  <c r="Q54" i="8"/>
  <c r="R54" i="8"/>
  <c r="S54" i="8"/>
  <c r="Q55" i="8"/>
  <c r="R55" i="8"/>
  <c r="S55" i="8"/>
  <c r="Q56" i="8"/>
  <c r="R56" i="8"/>
  <c r="S56" i="8"/>
  <c r="P3" i="8"/>
  <c r="P4" i="8"/>
  <c r="P5" i="8"/>
  <c r="P6" i="8"/>
  <c r="P7" i="8"/>
  <c r="P8" i="8"/>
  <c r="P9" i="8"/>
  <c r="P10" i="8"/>
  <c r="P11" i="8"/>
  <c r="P12" i="8"/>
  <c r="P13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30" i="8"/>
  <c r="P31" i="8"/>
  <c r="P32" i="8"/>
  <c r="P33" i="8"/>
  <c r="P34" i="8"/>
  <c r="P35" i="8"/>
  <c r="P36" i="8"/>
  <c r="P37" i="8"/>
  <c r="P38" i="8"/>
  <c r="P39" i="8"/>
  <c r="P40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2" i="8"/>
  <c r="G72" i="8"/>
  <c r="F72" i="8"/>
  <c r="E72" i="8"/>
  <c r="D72" i="8"/>
  <c r="C72" i="8"/>
  <c r="B72" i="8"/>
  <c r="G71" i="8"/>
  <c r="G69" i="8"/>
  <c r="F69" i="8"/>
  <c r="F71" i="8" s="1"/>
  <c r="E69" i="8"/>
  <c r="E71" i="8" s="1"/>
  <c r="D69" i="8"/>
  <c r="D71" i="8" s="1"/>
  <c r="C69" i="8"/>
  <c r="C71" i="8" s="1"/>
  <c r="B69" i="8"/>
  <c r="B71" i="8" s="1"/>
  <c r="G50" i="8"/>
  <c r="G49" i="8" s="1"/>
  <c r="F50" i="8"/>
  <c r="F49" i="8" s="1"/>
  <c r="E50" i="8"/>
  <c r="E49" i="8" s="1"/>
  <c r="D50" i="8"/>
  <c r="D49" i="8" s="1"/>
  <c r="C50" i="8"/>
  <c r="C49" i="8" s="1"/>
  <c r="B50" i="8"/>
  <c r="B49" i="8" s="1"/>
  <c r="G41" i="8"/>
  <c r="G40" i="8" s="1"/>
  <c r="F41" i="8"/>
  <c r="F40" i="8" s="1"/>
  <c r="E41" i="8"/>
  <c r="E40" i="8" s="1"/>
  <c r="D41" i="8"/>
  <c r="D40" i="8" s="1"/>
  <c r="C41" i="8"/>
  <c r="C40" i="8" s="1"/>
  <c r="B41" i="8"/>
  <c r="B40" i="8" s="1"/>
  <c r="G36" i="8"/>
  <c r="F36" i="8"/>
  <c r="E36" i="8"/>
  <c r="D36" i="8"/>
  <c r="C36" i="8"/>
  <c r="B36" i="8"/>
  <c r="G32" i="8"/>
  <c r="F32" i="8"/>
  <c r="E32" i="8"/>
  <c r="D32" i="8"/>
  <c r="C32" i="8"/>
  <c r="B32" i="8"/>
  <c r="G28" i="8"/>
  <c r="F28" i="8"/>
  <c r="E28" i="8"/>
  <c r="D28" i="8"/>
  <c r="C28" i="8"/>
  <c r="B28" i="8"/>
  <c r="G20" i="8"/>
  <c r="F20" i="8"/>
  <c r="E20" i="8"/>
  <c r="D20" i="8"/>
  <c r="C20" i="8"/>
  <c r="B20" i="8"/>
  <c r="G15" i="8"/>
  <c r="F15" i="8"/>
  <c r="E15" i="8"/>
  <c r="D15" i="8"/>
  <c r="C15" i="8"/>
  <c r="B15" i="8"/>
  <c r="S14" i="8"/>
  <c r="R14" i="8"/>
  <c r="Q14" i="8"/>
  <c r="P14" i="8"/>
  <c r="G6" i="8"/>
  <c r="F6" i="8"/>
  <c r="E6" i="8"/>
  <c r="D6" i="8"/>
  <c r="C6" i="8"/>
  <c r="B6" i="8"/>
  <c r="G3" i="8"/>
  <c r="F3" i="8"/>
  <c r="E3" i="8"/>
  <c r="D3" i="8"/>
  <c r="C3" i="8"/>
  <c r="B3" i="8"/>
  <c r="E27" i="8" l="1"/>
  <c r="C13" i="8"/>
  <c r="B13" i="8"/>
  <c r="E2" i="8"/>
  <c r="F27" i="8"/>
  <c r="F57" i="8" s="1"/>
  <c r="R59" i="8"/>
  <c r="G27" i="8"/>
  <c r="G57" i="8" s="1"/>
  <c r="F2" i="8"/>
  <c r="D13" i="8"/>
  <c r="G2" i="8"/>
  <c r="E57" i="8"/>
  <c r="D2" i="8"/>
  <c r="F14" i="7"/>
  <c r="A53" i="4"/>
  <c r="B53" i="4"/>
  <c r="H53" i="4"/>
  <c r="F53" i="4"/>
  <c r="G53" i="4"/>
  <c r="I53" i="4"/>
  <c r="E105" i="7"/>
  <c r="F115" i="7"/>
  <c r="F167" i="7"/>
  <c r="E206" i="7"/>
  <c r="E154" i="7"/>
  <c r="E157" i="7"/>
  <c r="E209" i="7"/>
  <c r="E102" i="7"/>
  <c r="H206" i="7"/>
  <c r="H154" i="7"/>
  <c r="F11" i="7"/>
  <c r="H102" i="7"/>
  <c r="F170" i="7"/>
  <c r="F118" i="7"/>
  <c r="H157" i="7"/>
  <c r="H105" i="7"/>
  <c r="H209" i="7"/>
  <c r="F63" i="7"/>
  <c r="F13" i="8"/>
  <c r="F26" i="8" s="1"/>
  <c r="B27" i="8"/>
  <c r="B57" i="8" s="1"/>
  <c r="E13" i="8"/>
  <c r="E26" i="8" s="1"/>
  <c r="G13" i="8"/>
  <c r="C27" i="8"/>
  <c r="C57" i="8" s="1"/>
  <c r="C2" i="8"/>
  <c r="C26" i="8" s="1"/>
  <c r="D27" i="8"/>
  <c r="D57" i="8" s="1"/>
  <c r="B2" i="8"/>
  <c r="P41" i="8"/>
  <c r="L41" i="8" l="1"/>
  <c r="L40" i="8" s="1"/>
  <c r="Q40" i="8" s="1"/>
  <c r="L28" i="8"/>
  <c r="D26" i="8"/>
  <c r="B26" i="8"/>
  <c r="G26" i="8"/>
  <c r="I54" i="4"/>
  <c r="G54" i="4"/>
  <c r="H54" i="4"/>
  <c r="A54" i="4"/>
  <c r="B54" i="4"/>
  <c r="Q41" i="8" l="1"/>
  <c r="M41" i="8"/>
  <c r="M40" i="8" s="1"/>
  <c r="R40" i="8" s="1"/>
  <c r="L27" i="8"/>
  <c r="Q28" i="8"/>
  <c r="M28" i="8"/>
  <c r="B55" i="4"/>
  <c r="F55" i="4"/>
  <c r="A55" i="4"/>
  <c r="G55" i="4"/>
  <c r="H55" i="4"/>
  <c r="I55" i="4"/>
  <c r="R41" i="8" l="1"/>
  <c r="N41" i="8"/>
  <c r="N40" i="8" s="1"/>
  <c r="S40" i="8" s="1"/>
  <c r="M27" i="8"/>
  <c r="R28" i="8"/>
  <c r="N28" i="8"/>
  <c r="L57" i="8"/>
  <c r="Q57" i="8" s="1"/>
  <c r="Q27" i="8"/>
  <c r="B56" i="4"/>
  <c r="A56" i="4"/>
  <c r="S41" i="8" l="1"/>
  <c r="N27" i="8"/>
  <c r="S28" i="8"/>
  <c r="M57" i="8"/>
  <c r="R57" i="8" s="1"/>
  <c r="R27" i="8"/>
  <c r="B57" i="4"/>
  <c r="A57" i="4"/>
  <c r="F56" i="4"/>
  <c r="G56" i="4"/>
  <c r="H56" i="4"/>
  <c r="I56" i="4"/>
  <c r="F57" i="4"/>
  <c r="G57" i="4"/>
  <c r="H57" i="4"/>
  <c r="I57" i="4"/>
  <c r="G58" i="4" l="1"/>
  <c r="B58" i="4"/>
  <c r="F58" i="4"/>
  <c r="I58" i="4"/>
  <c r="H58" i="4"/>
  <c r="N57" i="8"/>
  <c r="S57" i="8" s="1"/>
  <c r="S27" i="8"/>
  <c r="A58" i="4"/>
  <c r="C25" i="5"/>
  <c r="D25" i="5"/>
  <c r="E25" i="5"/>
  <c r="B25" i="5"/>
  <c r="C19" i="5"/>
  <c r="D19" i="5"/>
  <c r="E19" i="5"/>
  <c r="B19" i="5"/>
  <c r="C31" i="5"/>
  <c r="D31" i="5"/>
  <c r="E31" i="5"/>
  <c r="J2" i="5"/>
  <c r="A2" i="5"/>
  <c r="A2" i="4"/>
  <c r="J2" i="4"/>
  <c r="B59" i="4" l="1"/>
  <c r="B60" i="4" s="1"/>
  <c r="I59" i="4"/>
  <c r="G59" i="4"/>
  <c r="H59" i="4"/>
  <c r="A59" i="4"/>
  <c r="B33" i="5"/>
  <c r="C33" i="5"/>
  <c r="D33" i="5"/>
  <c r="E33" i="5"/>
  <c r="F60" i="4" l="1"/>
  <c r="I60" i="4"/>
  <c r="G60" i="4"/>
  <c r="H60" i="4"/>
  <c r="A60" i="4"/>
  <c r="B50" i="5"/>
  <c r="C36" i="4"/>
  <c r="D36" i="4"/>
  <c r="E36" i="4"/>
  <c r="B36" i="4"/>
  <c r="M72" i="8" l="1"/>
  <c r="M71" i="8"/>
  <c r="N72" i="8"/>
  <c r="N71" i="8"/>
  <c r="L72" i="8"/>
  <c r="L71" i="8"/>
  <c r="K71" i="8"/>
  <c r="B61" i="4"/>
  <c r="A61" i="4"/>
  <c r="F61" i="4"/>
  <c r="H61" i="4"/>
  <c r="I61" i="4"/>
  <c r="G61" i="4"/>
  <c r="A51" i="5"/>
  <c r="B51" i="5" s="1"/>
  <c r="I101" i="8" l="1"/>
  <c r="D101" i="8"/>
  <c r="D102" i="8"/>
  <c r="I102" i="8" s="1"/>
  <c r="D91" i="8"/>
  <c r="I91" i="8" s="1"/>
  <c r="D96" i="8"/>
  <c r="I96" i="8" s="1"/>
  <c r="D92" i="8"/>
  <c r="A104" i="7" s="1"/>
  <c r="D97" i="8"/>
  <c r="A156" i="7" s="1"/>
  <c r="D86" i="8"/>
  <c r="I86" i="8" s="1"/>
  <c r="C52" i="7"/>
  <c r="C208" i="7"/>
  <c r="A52" i="7"/>
  <c r="B62" i="4"/>
  <c r="F62" i="4"/>
  <c r="G62" i="4"/>
  <c r="H62" i="4"/>
  <c r="I62" i="4"/>
  <c r="A62" i="4"/>
  <c r="C38" i="4"/>
  <c r="A52" i="5"/>
  <c r="B52" i="5" s="1"/>
  <c r="D38" i="4"/>
  <c r="E38" i="4"/>
  <c r="B38" i="4"/>
  <c r="I97" i="8" l="1"/>
  <c r="I92" i="8"/>
  <c r="B169" i="7"/>
  <c r="B13" i="7"/>
  <c r="C156" i="7"/>
  <c r="C104" i="7"/>
  <c r="A208" i="7"/>
  <c r="B65" i="7"/>
  <c r="B117" i="7"/>
  <c r="B63" i="4"/>
  <c r="F63" i="4"/>
  <c r="G63" i="4"/>
  <c r="H63" i="4"/>
  <c r="I63" i="4"/>
  <c r="A63" i="4"/>
  <c r="A53" i="5"/>
  <c r="B53" i="5" s="1"/>
  <c r="B64" i="4" l="1"/>
  <c r="F64" i="4"/>
  <c r="G64" i="4"/>
  <c r="I64" i="4"/>
  <c r="H64" i="4"/>
  <c r="A64" i="4"/>
  <c r="A54" i="5"/>
  <c r="B54" i="5" s="1"/>
  <c r="B65" i="4" l="1"/>
  <c r="A55" i="5"/>
  <c r="B55" i="5" s="1"/>
  <c r="B66" i="4" l="1"/>
  <c r="A56" i="5"/>
  <c r="B56" i="5" s="1"/>
  <c r="B67" i="4" l="1"/>
  <c r="A57" i="5"/>
  <c r="B57" i="5" s="1"/>
  <c r="B68" i="4" l="1"/>
  <c r="A58" i="5"/>
  <c r="B58" i="5" s="1"/>
  <c r="B69" i="4" l="1"/>
  <c r="A59" i="5"/>
  <c r="B59" i="5" s="1"/>
  <c r="A60" i="5" s="1"/>
  <c r="B60" i="5" s="1"/>
  <c r="A61" i="5" s="1"/>
  <c r="B61" i="5" s="1"/>
  <c r="A62" i="5" s="1"/>
  <c r="B62" i="5" s="1"/>
  <c r="A63" i="5" s="1"/>
  <c r="B63" i="5" s="1"/>
  <c r="A64" i="5" s="1"/>
  <c r="B64" i="5" s="1"/>
  <c r="A65" i="5" s="1"/>
  <c r="B65" i="5" s="1"/>
  <c r="A66" i="5" s="1"/>
  <c r="B66" i="5" s="1"/>
  <c r="A67" i="5" s="1"/>
  <c r="B67" i="5" s="1"/>
  <c r="A68" i="5" s="1"/>
  <c r="B68" i="5" s="1"/>
  <c r="A69" i="5" s="1"/>
  <c r="B69" i="5" s="1"/>
  <c r="A70" i="5" s="1"/>
  <c r="B70" i="5" s="1"/>
  <c r="A71" i="5" s="1"/>
  <c r="B71" i="5" s="1"/>
  <c r="A72" i="5" s="1"/>
  <c r="B72" i="5" s="1"/>
  <c r="A73" i="5" s="1"/>
  <c r="B73" i="5" s="1"/>
  <c r="A74" i="5" s="1"/>
  <c r="B74" i="5" s="1"/>
  <c r="A75" i="5" s="1"/>
  <c r="B75" i="5" s="1"/>
  <c r="A76" i="5" s="1"/>
  <c r="B76" i="5" s="1"/>
  <c r="A77" i="5" s="1"/>
  <c r="B77" i="5" s="1"/>
  <c r="A78" i="5" s="1"/>
  <c r="B78" i="5" s="1"/>
  <c r="A79" i="5" s="1"/>
  <c r="B79" i="5" s="1"/>
  <c r="A80" i="5" s="1"/>
  <c r="B80" i="5" s="1"/>
  <c r="A81" i="5" s="1"/>
  <c r="B81" i="5" s="1"/>
  <c r="B70" i="4" l="1"/>
  <c r="H29" i="5"/>
  <c r="H14" i="5"/>
  <c r="L14" i="5" s="1"/>
  <c r="I15" i="5"/>
  <c r="M15" i="5" s="1"/>
  <c r="H28" i="5"/>
  <c r="L28" i="5" s="1"/>
  <c r="H21" i="5"/>
  <c r="F24" i="5"/>
  <c r="J24" i="5" s="1"/>
  <c r="H23" i="5"/>
  <c r="L23" i="5" s="1"/>
  <c r="F28" i="5"/>
  <c r="J28" i="5" s="1"/>
  <c r="I24" i="5"/>
  <c r="M24" i="5" s="1"/>
  <c r="F30" i="5"/>
  <c r="J30" i="5" s="1"/>
  <c r="G23" i="5"/>
  <c r="K23" i="5" s="1"/>
  <c r="I28" i="5"/>
  <c r="M28" i="5" s="1"/>
  <c r="I17" i="5"/>
  <c r="M17" i="5" s="1"/>
  <c r="G22" i="5"/>
  <c r="K22" i="5" s="1"/>
  <c r="H7" i="5"/>
  <c r="L7" i="5" s="1"/>
  <c r="G29" i="5"/>
  <c r="I8" i="5"/>
  <c r="M8" i="5" s="1"/>
  <c r="F22" i="5"/>
  <c r="J22" i="5" s="1"/>
  <c r="I5" i="5"/>
  <c r="F12" i="5"/>
  <c r="G24" i="5"/>
  <c r="K24" i="5" s="1"/>
  <c r="F8" i="5"/>
  <c r="J8" i="5" s="1"/>
  <c r="G14" i="5"/>
  <c r="K14" i="5" s="1"/>
  <c r="G13" i="5"/>
  <c r="K13" i="5" s="1"/>
  <c r="H8" i="5"/>
  <c r="L8" i="5" s="1"/>
  <c r="I13" i="5"/>
  <c r="M13" i="5" s="1"/>
  <c r="F6" i="5"/>
  <c r="J6" i="5" s="1"/>
  <c r="G7" i="5"/>
  <c r="K7" i="5" s="1"/>
  <c r="F7" i="5"/>
  <c r="J7" i="5" s="1"/>
  <c r="F9" i="5"/>
  <c r="J9" i="5" s="1"/>
  <c r="H30" i="5"/>
  <c r="L30" i="5" s="1"/>
  <c r="G21" i="5"/>
  <c r="I12" i="5"/>
  <c r="G8" i="5"/>
  <c r="K8" i="5" s="1"/>
  <c r="F29" i="5"/>
  <c r="I22" i="5"/>
  <c r="M22" i="5" s="1"/>
  <c r="F17" i="5"/>
  <c r="J17" i="5" s="1"/>
  <c r="G5" i="5"/>
  <c r="G16" i="5"/>
  <c r="K16" i="5" s="1"/>
  <c r="H5" i="5"/>
  <c r="F23" i="5"/>
  <c r="J23" i="5" s="1"/>
  <c r="H24" i="5"/>
  <c r="L24" i="5" s="1"/>
  <c r="G15" i="5"/>
  <c r="K15" i="5" s="1"/>
  <c r="F15" i="5"/>
  <c r="J15" i="5" s="1"/>
  <c r="G9" i="5"/>
  <c r="K9" i="5" s="1"/>
  <c r="F16" i="5"/>
  <c r="J16" i="5" s="1"/>
  <c r="H15" i="5"/>
  <c r="L15" i="5" s="1"/>
  <c r="G17" i="5"/>
  <c r="K17" i="5" s="1"/>
  <c r="H9" i="5"/>
  <c r="L9" i="5" s="1"/>
  <c r="F14" i="5"/>
  <c r="J14" i="5" s="1"/>
  <c r="H13" i="5"/>
  <c r="L13" i="5" s="1"/>
  <c r="I29" i="5"/>
  <c r="I21" i="5"/>
  <c r="G28" i="5"/>
  <c r="K28" i="5" s="1"/>
  <c r="H12" i="5"/>
  <c r="G12" i="5"/>
  <c r="F5" i="5"/>
  <c r="H17" i="5"/>
  <c r="L17" i="5" s="1"/>
  <c r="G6" i="5"/>
  <c r="K6" i="5" s="1"/>
  <c r="H16" i="5"/>
  <c r="L16" i="5" s="1"/>
  <c r="I14" i="5"/>
  <c r="M14" i="5" s="1"/>
  <c r="J13" i="5"/>
  <c r="I30" i="5"/>
  <c r="M30" i="5" s="1"/>
  <c r="H6" i="5"/>
  <c r="L6" i="5" s="1"/>
  <c r="I23" i="5"/>
  <c r="M23" i="5" s="1"/>
  <c r="I16" i="5"/>
  <c r="M16" i="5" s="1"/>
  <c r="F21" i="5"/>
  <c r="I6" i="5"/>
  <c r="M6" i="5" s="1"/>
  <c r="I7" i="5"/>
  <c r="M7" i="5" s="1"/>
  <c r="G30" i="5"/>
  <c r="K30" i="5" s="1"/>
  <c r="H22" i="5"/>
  <c r="L22" i="5" s="1"/>
  <c r="I9" i="5"/>
  <c r="M9" i="5" s="1"/>
  <c r="B71" i="4" l="1"/>
  <c r="G65" i="4"/>
  <c r="F65" i="4"/>
  <c r="K29" i="5"/>
  <c r="M29" i="5"/>
  <c r="J29" i="5"/>
  <c r="L29" i="5"/>
  <c r="J21" i="5"/>
  <c r="J25" i="5" s="1"/>
  <c r="F25" i="5"/>
  <c r="J12" i="5"/>
  <c r="L21" i="5"/>
  <c r="L25" i="5" s="1"/>
  <c r="H25" i="5"/>
  <c r="J5" i="5"/>
  <c r="J10" i="5" s="1"/>
  <c r="F10" i="5"/>
  <c r="M5" i="5"/>
  <c r="M10" i="5" s="1"/>
  <c r="I10" i="5"/>
  <c r="K12" i="5"/>
  <c r="M21" i="5"/>
  <c r="M25" i="5" s="1"/>
  <c r="I25" i="5"/>
  <c r="L12" i="5"/>
  <c r="L5" i="5"/>
  <c r="L10" i="5" s="1"/>
  <c r="H10" i="5"/>
  <c r="M12" i="5"/>
  <c r="K21" i="5"/>
  <c r="K25" i="5" s="1"/>
  <c r="G25" i="5"/>
  <c r="K5" i="5"/>
  <c r="K10" i="5" s="1"/>
  <c r="G10" i="5"/>
  <c r="A65" i="4"/>
  <c r="B72" i="4" l="1"/>
  <c r="A66" i="4"/>
  <c r="H65" i="4"/>
  <c r="I65" i="4"/>
  <c r="B73" i="4" l="1"/>
  <c r="A67" i="4"/>
  <c r="H66" i="4"/>
  <c r="F66" i="4"/>
  <c r="G66" i="4"/>
  <c r="I66" i="4"/>
  <c r="A68" i="4" l="1"/>
  <c r="F67" i="4"/>
  <c r="G67" i="4"/>
  <c r="H67" i="4"/>
  <c r="I67" i="4"/>
  <c r="A69" i="4" l="1"/>
  <c r="F68" i="4"/>
  <c r="G68" i="4"/>
  <c r="H68" i="4"/>
  <c r="I68" i="4"/>
  <c r="A70" i="4" l="1"/>
  <c r="F69" i="4"/>
  <c r="G69" i="4"/>
  <c r="H69" i="4"/>
  <c r="I69" i="4"/>
  <c r="A71" i="4" l="1"/>
  <c r="F70" i="4"/>
  <c r="G70" i="4"/>
  <c r="H70" i="4"/>
  <c r="I70" i="4"/>
  <c r="A72" i="4" l="1"/>
  <c r="F71" i="4"/>
  <c r="G71" i="4"/>
  <c r="H71" i="4"/>
  <c r="I71" i="4"/>
  <c r="A73" i="4" l="1"/>
  <c r="F72" i="4"/>
  <c r="G72" i="4"/>
  <c r="H72" i="4"/>
  <c r="I72" i="4"/>
  <c r="B74" i="4" l="1"/>
  <c r="A74" i="4"/>
  <c r="F73" i="4"/>
  <c r="G73" i="4"/>
  <c r="H73" i="4"/>
  <c r="I73" i="4"/>
  <c r="B75" i="4" l="1"/>
  <c r="A75" i="4"/>
  <c r="F74" i="4"/>
  <c r="I74" i="4"/>
  <c r="G74" i="4"/>
  <c r="H74" i="4"/>
  <c r="B76" i="4" l="1"/>
  <c r="A76" i="4"/>
  <c r="F75" i="4"/>
  <c r="G75" i="4"/>
  <c r="H75" i="4"/>
  <c r="I75" i="4"/>
  <c r="B77" i="4" l="1"/>
  <c r="A77" i="4"/>
  <c r="G76" i="4"/>
  <c r="H76" i="4"/>
  <c r="F76" i="4"/>
  <c r="I76" i="4"/>
  <c r="B78" i="4" l="1"/>
  <c r="A78" i="4"/>
  <c r="F77" i="4"/>
  <c r="G77" i="4"/>
  <c r="H77" i="4"/>
  <c r="I77" i="4"/>
  <c r="B79" i="4" l="1"/>
  <c r="A79" i="4"/>
  <c r="F78" i="4"/>
  <c r="G78" i="4"/>
  <c r="H78" i="4"/>
  <c r="I78" i="4"/>
  <c r="B80" i="4" l="1"/>
  <c r="A80" i="4"/>
  <c r="F79" i="4"/>
  <c r="G79" i="4"/>
  <c r="H79" i="4"/>
  <c r="I79" i="4"/>
  <c r="B81" i="4" l="1"/>
  <c r="A81" i="4"/>
  <c r="F80" i="4"/>
  <c r="I80" i="4"/>
  <c r="G80" i="4"/>
  <c r="H80" i="4"/>
  <c r="B82" i="4" l="1"/>
  <c r="A82" i="4"/>
  <c r="F81" i="4"/>
  <c r="G81" i="4"/>
  <c r="H81" i="4"/>
  <c r="I81" i="4"/>
  <c r="B83" i="4" l="1"/>
  <c r="A83" i="4"/>
  <c r="G82" i="4"/>
  <c r="F82" i="4"/>
  <c r="H82" i="4"/>
  <c r="I82" i="4"/>
  <c r="B84" i="4" l="1"/>
  <c r="A84" i="4"/>
  <c r="F83" i="4"/>
  <c r="G83" i="4"/>
  <c r="H83" i="4"/>
  <c r="I83" i="4"/>
  <c r="B85" i="4" l="1"/>
  <c r="A85" i="4"/>
  <c r="F84" i="4"/>
  <c r="G84" i="4"/>
  <c r="H84" i="4"/>
  <c r="I84" i="4"/>
  <c r="B86" i="4" l="1"/>
  <c r="A86" i="4"/>
  <c r="G85" i="4"/>
  <c r="H85" i="4"/>
  <c r="I85" i="4"/>
  <c r="F85" i="4"/>
  <c r="F19" i="4" l="1"/>
  <c r="F8" i="4"/>
  <c r="J8" i="4" s="1"/>
  <c r="G24" i="4"/>
  <c r="G8" i="4"/>
  <c r="K8" i="4" s="1"/>
  <c r="F6" i="4"/>
  <c r="G33" i="4"/>
  <c r="G15" i="4"/>
  <c r="G16" i="4"/>
  <c r="G5" i="4"/>
  <c r="F25" i="4"/>
  <c r="G11" i="4"/>
  <c r="G19" i="4"/>
  <c r="G6" i="4"/>
  <c r="F33" i="4"/>
  <c r="F18" i="4"/>
  <c r="F11" i="4"/>
  <c r="G7" i="4"/>
  <c r="F10" i="4"/>
  <c r="F9" i="4"/>
  <c r="J9" i="4" s="1"/>
  <c r="F29" i="4"/>
  <c r="F7" i="4"/>
  <c r="G9" i="4"/>
  <c r="K9" i="4" s="1"/>
  <c r="F16" i="4"/>
  <c r="F15" i="4"/>
  <c r="F5" i="4"/>
  <c r="G29" i="4"/>
  <c r="G34" i="4"/>
  <c r="G25" i="4"/>
  <c r="F24" i="4"/>
  <c r="G12" i="4"/>
  <c r="G17" i="4"/>
  <c r="F23" i="4"/>
  <c r="G10" i="4"/>
  <c r="F17" i="4"/>
  <c r="F34" i="4"/>
  <c r="F12" i="4"/>
  <c r="G23" i="4"/>
  <c r="G18" i="4"/>
  <c r="I8" i="4"/>
  <c r="M8" i="4" s="1"/>
  <c r="H9" i="4"/>
  <c r="L9" i="4" s="1"/>
  <c r="I9" i="4"/>
  <c r="M9" i="4" s="1"/>
  <c r="H8" i="4"/>
  <c r="L8" i="4" s="1"/>
  <c r="F86" i="4"/>
  <c r="G86" i="4"/>
  <c r="H86" i="4"/>
  <c r="I86" i="4"/>
  <c r="F20" i="4" l="1"/>
  <c r="G20" i="4"/>
  <c r="F13" i="4"/>
  <c r="G13" i="4"/>
  <c r="H34" i="4"/>
  <c r="I15" i="4"/>
  <c r="I11" i="4"/>
  <c r="H12" i="4"/>
  <c r="G42" i="5"/>
  <c r="G27" i="5" s="1"/>
  <c r="I17" i="4"/>
  <c r="J23" i="4"/>
  <c r="H23" i="4"/>
  <c r="H33" i="4"/>
  <c r="H42" i="5" s="1"/>
  <c r="H27" i="5" s="1"/>
  <c r="I29" i="4"/>
  <c r="H7" i="4"/>
  <c r="I12" i="4"/>
  <c r="I23" i="4"/>
  <c r="H17" i="4"/>
  <c r="I34" i="4"/>
  <c r="I25" i="4"/>
  <c r="I10" i="4"/>
  <c r="H11" i="4"/>
  <c r="H19" i="4"/>
  <c r="I24" i="4"/>
  <c r="H25" i="4"/>
  <c r="F42" i="5"/>
  <c r="H5" i="4"/>
  <c r="I18" i="4"/>
  <c r="H16" i="4"/>
  <c r="I33" i="4"/>
  <c r="I42" i="5" s="1"/>
  <c r="I27" i="5" s="1"/>
  <c r="I19" i="4"/>
  <c r="I16" i="4"/>
  <c r="H29" i="4"/>
  <c r="I7" i="4"/>
  <c r="H24" i="4"/>
  <c r="H15" i="4"/>
  <c r="H10" i="4"/>
  <c r="H18" i="4"/>
  <c r="I5" i="4"/>
  <c r="G21" i="4" l="1"/>
  <c r="F21" i="4"/>
  <c r="F27" i="5"/>
  <c r="G41" i="5"/>
  <c r="G18" i="5" s="1"/>
  <c r="H41" i="5"/>
  <c r="H18" i="5" s="1"/>
  <c r="I41" i="5"/>
  <c r="I18" i="5" s="1"/>
  <c r="F41" i="5"/>
  <c r="F18" i="5" s="1"/>
  <c r="L7" i="4"/>
  <c r="J18" i="4"/>
  <c r="J12" i="4"/>
  <c r="J7" i="4"/>
  <c r="L18" i="4"/>
  <c r="M29" i="4"/>
  <c r="L12" i="4"/>
  <c r="M17" i="4"/>
  <c r="K25" i="4"/>
  <c r="L34" i="4"/>
  <c r="J6" i="4"/>
  <c r="K10" i="4"/>
  <c r="K24" i="4"/>
  <c r="K11" i="4"/>
  <c r="M19" i="4"/>
  <c r="J24" i="4"/>
  <c r="M12" i="4"/>
  <c r="L11" i="4"/>
  <c r="K34" i="4"/>
  <c r="M11" i="4"/>
  <c r="K17" i="4"/>
  <c r="L19" i="4"/>
  <c r="K29" i="4"/>
  <c r="M7" i="4"/>
  <c r="K7" i="4"/>
  <c r="J17" i="4"/>
  <c r="K18" i="4"/>
  <c r="L25" i="4"/>
  <c r="L10" i="4"/>
  <c r="J34" i="4"/>
  <c r="M10" i="4"/>
  <c r="M18" i="4"/>
  <c r="J19" i="4"/>
  <c r="M25" i="4"/>
  <c r="M24" i="4"/>
  <c r="J10" i="4"/>
  <c r="L16" i="4"/>
  <c r="M34" i="4"/>
  <c r="K16" i="4"/>
  <c r="L24" i="4"/>
  <c r="K19" i="4"/>
  <c r="M16" i="4"/>
  <c r="L17" i="4"/>
  <c r="K12" i="4"/>
  <c r="J11" i="4"/>
  <c r="J25" i="4"/>
  <c r="J29" i="4"/>
  <c r="J16" i="4"/>
  <c r="P42" i="8" l="1"/>
  <c r="P69" i="8" s="1"/>
  <c r="R42" i="8"/>
  <c r="R69" i="8" s="1"/>
  <c r="S42" i="8"/>
  <c r="S69" i="8" s="1"/>
  <c r="Q42" i="8"/>
  <c r="Q69" i="8" s="1"/>
  <c r="F49" i="4"/>
  <c r="I31" i="5"/>
  <c r="L27" i="5"/>
  <c r="L31" i="5" s="1"/>
  <c r="K27" i="5"/>
  <c r="K31" i="5" s="1"/>
  <c r="I49" i="4"/>
  <c r="I26" i="4" s="1"/>
  <c r="M26" i="4" s="1"/>
  <c r="H49" i="4"/>
  <c r="H26" i="4" s="1"/>
  <c r="L26" i="4" s="1"/>
  <c r="G49" i="4"/>
  <c r="I48" i="4"/>
  <c r="H48" i="4"/>
  <c r="G48" i="4"/>
  <c r="G27" i="4" s="1"/>
  <c r="F48" i="4"/>
  <c r="F27" i="4" s="1"/>
  <c r="M27" i="5"/>
  <c r="M31" i="5" s="1"/>
  <c r="J33" i="4"/>
  <c r="L5" i="4"/>
  <c r="O70" i="8"/>
  <c r="J5" i="4"/>
  <c r="P70" i="8" s="1"/>
  <c r="M5" i="4"/>
  <c r="K5" i="4"/>
  <c r="K23" i="4"/>
  <c r="I20" i="4"/>
  <c r="M15" i="4"/>
  <c r="L23" i="4"/>
  <c r="K15" i="4"/>
  <c r="L29" i="4"/>
  <c r="M23" i="4"/>
  <c r="K33" i="4"/>
  <c r="L33" i="4"/>
  <c r="J15" i="4"/>
  <c r="M33" i="4"/>
  <c r="L15" i="4"/>
  <c r="H20" i="4"/>
  <c r="F26" i="4" l="1"/>
  <c r="F28" i="4" s="1"/>
  <c r="F30" i="4" s="1"/>
  <c r="G26" i="4"/>
  <c r="G28" i="4" s="1"/>
  <c r="G30" i="4" s="1"/>
  <c r="P71" i="8"/>
  <c r="F47" i="4"/>
  <c r="F35" i="4" s="1"/>
  <c r="P29" i="8" s="1"/>
  <c r="P72" i="8" s="1"/>
  <c r="E87" i="8" s="1"/>
  <c r="K87" i="8" s="1"/>
  <c r="H31" i="5"/>
  <c r="G31" i="5"/>
  <c r="J18" i="5"/>
  <c r="J34" i="5" s="1"/>
  <c r="K18" i="5"/>
  <c r="K34" i="5" s="1"/>
  <c r="L18" i="5"/>
  <c r="L34" i="5" s="1"/>
  <c r="M18" i="5"/>
  <c r="M34" i="5" s="1"/>
  <c r="H47" i="4"/>
  <c r="H35" i="4" s="1"/>
  <c r="I47" i="4"/>
  <c r="I35" i="4" s="1"/>
  <c r="G47" i="4"/>
  <c r="G35" i="4" s="1"/>
  <c r="G19" i="5"/>
  <c r="I19" i="5"/>
  <c r="I33" i="5" s="1"/>
  <c r="H19" i="5"/>
  <c r="F19" i="5"/>
  <c r="J21" i="4"/>
  <c r="E86" i="8" l="1"/>
  <c r="K86" i="8" s="1"/>
  <c r="K26" i="4"/>
  <c r="J26" i="4"/>
  <c r="K19" i="5"/>
  <c r="K33" i="5" s="1"/>
  <c r="K93" i="8"/>
  <c r="P91" i="8" s="1"/>
  <c r="P92" i="8" s="1"/>
  <c r="J19" i="5"/>
  <c r="K88" i="8"/>
  <c r="P86" i="8" s="1"/>
  <c r="P87" i="8" s="1"/>
  <c r="L19" i="5"/>
  <c r="L33" i="5" s="1"/>
  <c r="K98" i="8"/>
  <c r="P96" i="8" s="1"/>
  <c r="P97" i="8" s="1"/>
  <c r="M19" i="5"/>
  <c r="M33" i="5" s="1"/>
  <c r="K103" i="8"/>
  <c r="P101" i="8" s="1"/>
  <c r="P102" i="8" s="1"/>
  <c r="Q29" i="8"/>
  <c r="H33" i="5"/>
  <c r="S29" i="8"/>
  <c r="R29" i="8"/>
  <c r="G33" i="5"/>
  <c r="J35" i="4"/>
  <c r="J36" i="4" s="1"/>
  <c r="F36" i="4"/>
  <c r="J27" i="5"/>
  <c r="J31" i="5" s="1"/>
  <c r="F31" i="5"/>
  <c r="F33" i="5" s="1"/>
  <c r="K35" i="4"/>
  <c r="M35" i="4"/>
  <c r="J27" i="4"/>
  <c r="L35" i="4"/>
  <c r="K27" i="4"/>
  <c r="H36" i="4"/>
  <c r="I36" i="4"/>
  <c r="G36" i="4"/>
  <c r="I27" i="4"/>
  <c r="H27" i="4"/>
  <c r="K28" i="4" l="1"/>
  <c r="J28" i="4"/>
  <c r="J30" i="4" s="1"/>
  <c r="E85" i="8" s="1"/>
  <c r="K85" i="8" s="1"/>
  <c r="H52" i="7"/>
  <c r="J33" i="5"/>
  <c r="F38" i="4"/>
  <c r="E52" i="7"/>
  <c r="I28" i="4"/>
  <c r="L36" i="4"/>
  <c r="M36" i="4"/>
  <c r="K36" i="4"/>
  <c r="M27" i="4"/>
  <c r="M28" i="4" s="1"/>
  <c r="L27" i="4"/>
  <c r="L28" i="4" s="1"/>
  <c r="H28" i="4"/>
  <c r="G38" i="4"/>
  <c r="I6" i="4"/>
  <c r="M6" i="4" s="1"/>
  <c r="S70" i="8" s="1"/>
  <c r="S71" i="8" s="1"/>
  <c r="E101" i="8" s="1"/>
  <c r="K101" i="8" s="1"/>
  <c r="H6" i="4"/>
  <c r="H13" i="4" s="1"/>
  <c r="H21" i="4" s="1"/>
  <c r="J38" i="4" l="1"/>
  <c r="J31" i="4"/>
  <c r="F13" i="7"/>
  <c r="H30" i="4"/>
  <c r="H38" i="4" s="1"/>
  <c r="S72" i="8"/>
  <c r="E102" i="8" s="1"/>
  <c r="K102" i="8" s="1"/>
  <c r="M21" i="4"/>
  <c r="M30" i="4" s="1"/>
  <c r="E100" i="8" s="1"/>
  <c r="K100" i="8" s="1"/>
  <c r="L6" i="4"/>
  <c r="R70" i="8" s="1"/>
  <c r="K6" i="4"/>
  <c r="Q70" i="8" s="1"/>
  <c r="I13" i="4"/>
  <c r="I21" i="4" s="1"/>
  <c r="I30" i="4" s="1"/>
  <c r="I38" i="4" s="1"/>
  <c r="Q71" i="8" l="1"/>
  <c r="E91" i="8" s="1"/>
  <c r="K91" i="8" s="1"/>
  <c r="Q72" i="8"/>
  <c r="E92" i="8" s="1"/>
  <c r="K92" i="8" s="1"/>
  <c r="R71" i="8"/>
  <c r="E96" i="8" s="1"/>
  <c r="K96" i="8" s="1"/>
  <c r="R72" i="8"/>
  <c r="E97" i="8" s="1"/>
  <c r="K97" i="8" s="1"/>
  <c r="E208" i="7"/>
  <c r="H208" i="7"/>
  <c r="M31" i="4"/>
  <c r="M38" i="4"/>
  <c r="K21" i="4"/>
  <c r="K30" i="4" s="1"/>
  <c r="E90" i="8" s="1"/>
  <c r="K90" i="8" s="1"/>
  <c r="L21" i="4"/>
  <c r="L30" i="4" s="1"/>
  <c r="E95" i="8" s="1"/>
  <c r="K95" i="8" s="1"/>
  <c r="E156" i="7" l="1"/>
  <c r="F169" i="7"/>
  <c r="H156" i="7"/>
  <c r="L31" i="4"/>
  <c r="L38" i="4"/>
  <c r="K31" i="4"/>
  <c r="K38" i="4"/>
  <c r="H104" i="7" l="1"/>
  <c r="F117" i="7"/>
  <c r="F65" i="7"/>
  <c r="E104" i="7"/>
</calcChain>
</file>

<file path=xl/sharedStrings.xml><?xml version="1.0" encoding="utf-8"?>
<sst xmlns="http://schemas.openxmlformats.org/spreadsheetml/2006/main" count="416" uniqueCount="305">
  <si>
    <t>Budsjettforslag fra</t>
  </si>
  <si>
    <t>Endring i driftstiltak</t>
  </si>
  <si>
    <t>Kommunedirektørens budsjettforslag</t>
  </si>
  <si>
    <t>Endringer</t>
  </si>
  <si>
    <t>Økonomisk oversikt drift etter §5-6 første ledd</t>
  </si>
  <si>
    <t>Rammetilskudd</t>
  </si>
  <si>
    <t>Inntekts- og formuesskatt</t>
  </si>
  <si>
    <t>Eiendomsskatt</t>
  </si>
  <si>
    <t>Andre skatteinntekter</t>
  </si>
  <si>
    <t>Andre overføringer og tilskudd fra staten</t>
  </si>
  <si>
    <t>Overføringer og tilskudd fra andre</t>
  </si>
  <si>
    <t>Brukerbetalinger</t>
  </si>
  <si>
    <t>Salgs- og leieinntekter</t>
  </si>
  <si>
    <t>Driftsinntekter</t>
  </si>
  <si>
    <t>Lønnsutgifter</t>
  </si>
  <si>
    <t>Sosiale utgifter</t>
  </si>
  <si>
    <t>Kjøp av varer og tjenester</t>
  </si>
  <si>
    <t>Overføringer og tilskudd til andre</t>
  </si>
  <si>
    <t>Avskrivninger</t>
  </si>
  <si>
    <t>Driftsutgifter</t>
  </si>
  <si>
    <t>Brutto driftsresultat</t>
  </si>
  <si>
    <t>Renteinntekter</t>
  </si>
  <si>
    <t>Utbytter</t>
  </si>
  <si>
    <t>Gevinster og tap på finansielle omløpsmidler</t>
  </si>
  <si>
    <t>Renteutgifter</t>
  </si>
  <si>
    <t>Avdrag på lån</t>
  </si>
  <si>
    <t>Netto finansutgifter</t>
  </si>
  <si>
    <t>Motpost avskrivninger</t>
  </si>
  <si>
    <t>Netto driftsresultat</t>
  </si>
  <si>
    <t>…i prosent av driftsinntektene</t>
  </si>
  <si>
    <t/>
  </si>
  <si>
    <t>Overføring til investering</t>
  </si>
  <si>
    <t>Netto avsetninger til eller bruk av bundne driftsfond</t>
  </si>
  <si>
    <t>Netto avsetninger til eller bruk av disposisjonsfond</t>
  </si>
  <si>
    <t>Sum disponeringer eller dekning av netto driftsresultat</t>
  </si>
  <si>
    <t>Fremført til inndekning i senere år (merforbruk)</t>
  </si>
  <si>
    <t>Legg inn tiltaksnavn og velg kontogruppe. Lønnutgifter blir automatisk tillagt sosiale utgifter. Dersom du bryter formlene kan du legge inn beregning selv på sosiale utgifter ved å</t>
  </si>
  <si>
    <t xml:space="preserve">multiplisere lønnsutgiftene med 0,328. Mer- og mindreforbruk blir automatisk satt av til, eller brukt av disposisjonsfond. </t>
  </si>
  <si>
    <t>Legg til merinntekter og mindreutgifter som negative tall, og mindreinntekter og merutgifter som positivet tall. Legg inn tall i hele tusen.</t>
  </si>
  <si>
    <t>"Avdrag på lån" og "Renteutgifter" blir beregnet fra fanen "INVESTERING".</t>
  </si>
  <si>
    <t>1. Legg til tiltaksnavn</t>
  </si>
  <si>
    <t>2. Legg til kontogruppe</t>
  </si>
  <si>
    <t>3. Legg til beløp per år i hele tusen</t>
  </si>
  <si>
    <t>Endring i investeringstiltak</t>
  </si>
  <si>
    <t>Bevilningsoversikt investering etter §5-5 første ledd</t>
  </si>
  <si>
    <t>Investeringer i varige driftsmidler</t>
  </si>
  <si>
    <t>Tilskudd til andres investeringer</t>
  </si>
  <si>
    <t>Investeringer i aksjer og andeler i selskaper</t>
  </si>
  <si>
    <t>Utlån av egne midler</t>
  </si>
  <si>
    <t>Sum investeringsutgifter</t>
  </si>
  <si>
    <t>Kompensasjon for merverdiavgift</t>
  </si>
  <si>
    <t>Tilskudd fra andre</t>
  </si>
  <si>
    <t>Salg av varige driftsmidler</t>
  </si>
  <si>
    <t>Salg av finansielle anleggsmidler</t>
  </si>
  <si>
    <t>Utdeling fra selskaper</t>
  </si>
  <si>
    <t>Mottatte avdrag på utlån av egne midler</t>
  </si>
  <si>
    <t>Bruk av lån</t>
  </si>
  <si>
    <t>Sum investeringsinntekter</t>
  </si>
  <si>
    <t>Videreutlån</t>
  </si>
  <si>
    <t>Bruk av lån til videreutlån</t>
  </si>
  <si>
    <t>Avdrag på lån til videreutlån</t>
  </si>
  <si>
    <t>Mottatte avdrag på videreutlån</t>
  </si>
  <si>
    <t>Netto utgifter videreutlån</t>
  </si>
  <si>
    <t>Overføring fra drift</t>
  </si>
  <si>
    <t>Netto avsetninger til eller bruk av bundne investeringsfond</t>
  </si>
  <si>
    <t>Netto avsetninger til eller bruk av ubundet investeringsfond</t>
  </si>
  <si>
    <t>Dekning av tidligere års udekket beløp</t>
  </si>
  <si>
    <t>Sum overføring fra drift og netto avsetninger</t>
  </si>
  <si>
    <t>Fremført til inndekning (udekket beløp)</t>
  </si>
  <si>
    <t>Legg inn tiltaksnavn og velg kontogruppe. "Investeringer i varige driftsmidler" blir lagt til som standard om du ikke bryter formelen.</t>
  </si>
  <si>
    <t>Endringer får automatisk motpost på "Bruk av lån", og "Overføring fra drift" blir hentet fra fanen "DRIFT".</t>
  </si>
  <si>
    <t>3. Legg til beløp per år</t>
  </si>
  <si>
    <t>Budsjettert lånerente ved bruk av markedsrenter</t>
  </si>
  <si>
    <t>Sum</t>
  </si>
  <si>
    <t>Regnskap 2015</t>
  </si>
  <si>
    <t>Regnskap 2016</t>
  </si>
  <si>
    <t>Regnskap 2017</t>
  </si>
  <si>
    <t>Regnskap 2018</t>
  </si>
  <si>
    <t>Regnskap 2019</t>
  </si>
  <si>
    <t>Regnskap 2020</t>
  </si>
  <si>
    <t>Regnskap 2021</t>
  </si>
  <si>
    <t>A. Anleggsmidler</t>
  </si>
  <si>
    <t>A.1 Varige driftsmidler</t>
  </si>
  <si>
    <t>A.1.1 Faste eiendommer og anlegg</t>
  </si>
  <si>
    <t>A.1.2 Utstyr, maskiner og transportmidler</t>
  </si>
  <si>
    <t>A.2 Finansielle anleggsmidler</t>
  </si>
  <si>
    <t>A.2.1 Aksjer og andeler</t>
  </si>
  <si>
    <t>A.2.2 Obligasjoner</t>
  </si>
  <si>
    <t>A.2.3 Utlån</t>
  </si>
  <si>
    <t>A.2.4 Konserninterne langsiktige fordringer</t>
  </si>
  <si>
    <t>..</t>
  </si>
  <si>
    <t>A.3. Immaterielle eiendeler</t>
  </si>
  <si>
    <t>A.4 Pensjonsmidler</t>
  </si>
  <si>
    <t>B. Omløpsmidler</t>
  </si>
  <si>
    <t>B.1 Bankinnskudd</t>
  </si>
  <si>
    <t>B.2 Finansielle omløpsmidler</t>
  </si>
  <si>
    <t>B.2.1 Aksjer og andeler</t>
  </si>
  <si>
    <t>B2.2 Obligasjoner</t>
  </si>
  <si>
    <t>B.2.3 Sertifikater</t>
  </si>
  <si>
    <t>B.2.4 Derivater</t>
  </si>
  <si>
    <t>B.3 Kortsiktige fordringer</t>
  </si>
  <si>
    <t>B.3.1 Kundefordringer</t>
  </si>
  <si>
    <t>B.3.2 Andre kortsiktige fordringer</t>
  </si>
  <si>
    <t>B.3.3 Konserninterne kortsiktige fordringer</t>
  </si>
  <si>
    <t>B.3.4 Premieavvik</t>
  </si>
  <si>
    <t>B.4 Varer</t>
  </si>
  <si>
    <t>Sum eiendeler (A+B)</t>
  </si>
  <si>
    <t>C. Egenkapital</t>
  </si>
  <si>
    <t>C.1 Egenkapital drift</t>
  </si>
  <si>
    <t>C.1.1 Disposisjonsfond</t>
  </si>
  <si>
    <t>C.1.2 Bundne driftsfond</t>
  </si>
  <si>
    <t>C.1.3 Merforbruk i driftsregnskapet</t>
  </si>
  <si>
    <t>C.2 Egenkapital investering</t>
  </si>
  <si>
    <t>C.2.1 Ubundet investeringsfond</t>
  </si>
  <si>
    <t>C.2.2 Bundne investeringsfond</t>
  </si>
  <si>
    <t>C.2.3 Udekket beløp i investeringsregnskapet</t>
  </si>
  <si>
    <t>C.3 Annen egenkapital</t>
  </si>
  <si>
    <t>C.3.1 Kapitalkonto</t>
  </si>
  <si>
    <t>C.3.2 Prinsippendringer som påvirker arbeidskapitalen drift</t>
  </si>
  <si>
    <t>C.3.3 Prinsippendringer som påvirker arbeidskapitalen, investering</t>
  </si>
  <si>
    <t>D. Langsiktig gjeld</t>
  </si>
  <si>
    <t>D.1 Lån</t>
  </si>
  <si>
    <t>D.1.1 Gjeld til kredittinstitusjoner</t>
  </si>
  <si>
    <t>D.1.2 Konsernintern langsiktig gjeld</t>
  </si>
  <si>
    <t>D.1.3 Obligasjonslån</t>
  </si>
  <si>
    <t>D.1.4 Obligasjonslån med forfall i neste regnskapsår</t>
  </si>
  <si>
    <t>D.1.5 Sertifikatlån</t>
  </si>
  <si>
    <t>D.2 Avsetning for forpliktelser</t>
  </si>
  <si>
    <t>D.3 Pensjonsforpliktelse</t>
  </si>
  <si>
    <t>E. Kortsiktig gjeld</t>
  </si>
  <si>
    <t>E.1 Kortsiktig gjeld</t>
  </si>
  <si>
    <t>E.1.1 Leverandørgjeld</t>
  </si>
  <si>
    <t>E.1.2 Likviditetslån</t>
  </si>
  <si>
    <t>E.1.3 Derivater</t>
  </si>
  <si>
    <t>E.1.4 Annen kortsiktig gjeld</t>
  </si>
  <si>
    <t>E.1.5 Konsernintern kortsiktig gjeld</t>
  </si>
  <si>
    <t>E.1.6  Premieavvik</t>
  </si>
  <si>
    <t>Sum egenkapital og gjeld (C+D+E)</t>
  </si>
  <si>
    <t>F. Memoriakonti</t>
  </si>
  <si>
    <t>F.1.1 Ubrukte lånemidler</t>
  </si>
  <si>
    <t>F.1.2 Andre memoriakonti</t>
  </si>
  <si>
    <t>F.1.3 Motkonto for memoriakontiene</t>
  </si>
  <si>
    <t>Differansen mellom (fylkes-)kommunens konserninterne kortsiktige fordringer på egne KF/FKF/IKS og særbedriftens konserninterne kortsiktige gjeld til egen (fylkes-)kommune</t>
  </si>
  <si>
    <t>Differansen mellom (fylkes-)kommunens konserninterne langsiktige fordringer på egne KF/FKF/IKS og særbedriftens konserninterne langsiktige gjeld til egen (fylkes-)kommune</t>
  </si>
  <si>
    <t>Differansen mellom (fylkes-)kommunens konserninterne kortsiktige gjeld til egne KF/FKF/IKS og særbedriftens konserninterne kortsiktige fordringer på egen (fylkes-)kommune</t>
  </si>
  <si>
    <t>Differansen mellom (fylkes-)kommunes konserninterne langsiktige gjeld til egne KF/FKF/IKS og særbedriftens konserninterne langsiktige fordringer på egen (fylkes-)kommune</t>
  </si>
  <si>
    <t>Aktivert VAR-anlegg</t>
  </si>
  <si>
    <t>Netto renteeksponert gjeld</t>
  </si>
  <si>
    <t>Brutto driftsinntekter</t>
  </si>
  <si>
    <t>Netto renteeksponert gjeld i prosent av brutto driftsinntekter</t>
  </si>
  <si>
    <t>Disposisjonsfond i prosent av driftsinntektene</t>
  </si>
  <si>
    <t>Kommunedirektørens budsjettforslag 2023</t>
  </si>
  <si>
    <t>Kommunedirektørens budsjettforslag 2024</t>
  </si>
  <si>
    <t>Kommunedirektørens budsjettforslag 2025</t>
  </si>
  <si>
    <t>Kommunedirektørens budsjettforslag 2026</t>
  </si>
  <si>
    <t>Komdir</t>
  </si>
  <si>
    <t>Dispsisjonsfond i prosent av driftsinntektene</t>
  </si>
  <si>
    <t>Netto driftsresultat i prosent av driftsinntektene</t>
  </si>
  <si>
    <t>Netto renteeksponert gjeld i prosent av driftsinntektene</t>
  </si>
  <si>
    <t>Full måloppnåelse</t>
  </si>
  <si>
    <t>Ingen måloppnåelse</t>
  </si>
  <si>
    <t>Finansielt måltall</t>
  </si>
  <si>
    <t>Finansielt måltall ihht økonomireglmenentet</t>
  </si>
  <si>
    <t>Politisk</t>
  </si>
  <si>
    <t>Egenfinansiering av investering</t>
  </si>
  <si>
    <t>Egenfinansiering av investeringer</t>
  </si>
  <si>
    <t>Kommunedirektøren</t>
  </si>
  <si>
    <t>Lånefinansiering</t>
  </si>
  <si>
    <t>Overskrift</t>
  </si>
  <si>
    <t>Regnskap 2022</t>
  </si>
  <si>
    <t>2023 Revidert bud.</t>
  </si>
  <si>
    <t>2023</t>
  </si>
  <si>
    <t>2026</t>
  </si>
  <si>
    <t>2027</t>
  </si>
  <si>
    <t>Tiltak</t>
  </si>
  <si>
    <t>2028</t>
  </si>
  <si>
    <t>HANDLINGS- OG ØKONOMIPLAN 2026-2029</t>
  </si>
  <si>
    <t>23-HP-2306 Foreldreinitiert bofellesskap i Dalveien</t>
  </si>
  <si>
    <t>23-HP-2328 Ny fordelingsmodell barnehag</t>
  </si>
  <si>
    <t>23-HP-2335 Miljøprosjek Hålandsvannet</t>
  </si>
  <si>
    <t>24-HP-2307 Landsbyhjemmet andre etasje</t>
  </si>
  <si>
    <t>24-HP-2313 Masterkrav barnevern</t>
  </si>
  <si>
    <t>24-HP-2322 Endring antall elever i grunnskole</t>
  </si>
  <si>
    <t>24-HP-2327 Prosjekt toppbemanning i helse og barnehage</t>
  </si>
  <si>
    <t>24-HP-2334 Vedlikehold av gulv</t>
  </si>
  <si>
    <t>24-HP-2440 Sommer i Folkehallene - styrket bemaning</t>
  </si>
  <si>
    <t>25-HP-2308 Helårseffekt lønnsoppgjør 2025</t>
  </si>
  <si>
    <t>25-HP-2309 Lederspenn i heldøgntjenesten</t>
  </si>
  <si>
    <t>25-HP-2310 Endret antall barn i barnehage</t>
  </si>
  <si>
    <t>25-HP-2311 Skole- økt ramme i trå med tekstdokumentet</t>
  </si>
  <si>
    <t>25-HP-2312 Redusert kostnader sosialstønad</t>
  </si>
  <si>
    <t>25-HP-2314 Utvikling av ansatte og ledere</t>
  </si>
  <si>
    <t>25-HP-2316 Ny utgiftsfordeling Krisesenter i Stavanger</t>
  </si>
  <si>
    <t>25-HP-2317 Endret tilskudd Rogaland brann og redning IKS</t>
  </si>
  <si>
    <t>25-HP-2326 Lønnstilskudd flyktninger</t>
  </si>
  <si>
    <t>25-HP-2329 Lavere strømpriser</t>
  </si>
  <si>
    <t>25-HP-2330 Justert tilskudd til Folkehallene IKS</t>
  </si>
  <si>
    <t>25-HP-2331 Kommuneplan rullering økt kunnskap</t>
  </si>
  <si>
    <t>25-HP-2332 Frivilligsentral UNG</t>
  </si>
  <si>
    <t>25-HP-2333 Restaurationen - utvandrerjubileet 200 år</t>
  </si>
  <si>
    <t>25-HP-2355 Estimert lønnsoppgjør 2026</t>
  </si>
  <si>
    <t>26-HP-2280 Økt tilskudd Randaberg kirkelige fellesråd</t>
  </si>
  <si>
    <t>26-HP-2305 Disponering og finansiering av investeringer</t>
  </si>
  <si>
    <t>26-HP-2320 Valg</t>
  </si>
  <si>
    <t>26-HP-2323 Endring i inntekter 2026-2029 selvkost</t>
  </si>
  <si>
    <t>26-HP-2352 Endring i skatt og rammetilskudd</t>
  </si>
  <si>
    <t>26-HP-2353 Redusert foreldrebetaling i barnehage</t>
  </si>
  <si>
    <t>26-HP-2354 Økt pensjonskostnader inkludert varig AFP</t>
  </si>
  <si>
    <t>26-HP-2365 Økte kostnader kontroll og revisjon</t>
  </si>
  <si>
    <t>26-HP-2367 Redusert behov for kjøp av helsetiltak fra private leverandører.</t>
  </si>
  <si>
    <t>26-HP-2368 Øket tjenestebehov</t>
  </si>
  <si>
    <t>26-HP-2373 Økt tjeneste behov - PPT</t>
  </si>
  <si>
    <t>26-HP-2381 Elektronisk pasientjournal</t>
  </si>
  <si>
    <t>26-HP-2399 Drift av kommunal gatelys</t>
  </si>
  <si>
    <t>26-HP-2419 Beredskap</t>
  </si>
  <si>
    <t>26-HP-2420 Økning i velferdsteknologi</t>
  </si>
  <si>
    <t>26-HP-2423 Landsbyhuset aggregat nødstrøm</t>
  </si>
  <si>
    <t>26-HP-2424 Endring netto rentekostnader</t>
  </si>
  <si>
    <t>26-HP-2425 Økt utbytte fra Lyse</t>
  </si>
  <si>
    <t>26-HP-2426 Vurdering av skolesammenslåing og arealbruk</t>
  </si>
  <si>
    <t>26-HP-2427 Avvikle en barnehagevirksomhet</t>
  </si>
  <si>
    <t>26-HP-2432 Huselektriker</t>
  </si>
  <si>
    <t>26-HP-2450 Oppsigelse av avtale med Ryfylke friluftsråd</t>
  </si>
  <si>
    <t>26-HP-2454 Utrede bygging av et nytt krematorium</t>
  </si>
  <si>
    <t>26-HP-2489 Bytte ut innleid IT-konsulent med å ansette IT-konsulent</t>
  </si>
  <si>
    <t>26-HP-2490 Halvere utgifter til erkjentlighetsgaver</t>
  </si>
  <si>
    <t>26-HP-2491 Helhetlig livsfasepolitikk</t>
  </si>
  <si>
    <t>26-HP-2492 Økt leieinntekt Harestadvika småbåthavn</t>
  </si>
  <si>
    <t>26-HP-2494 Reduserte kostnader på vedlikehold av kommunale boliger</t>
  </si>
  <si>
    <t>26-HP-2496 Opprettholde bemanningsnivå på skole</t>
  </si>
  <si>
    <t>26-HP-2497 Opprettholde bemanningsnivå i  barnehage</t>
  </si>
  <si>
    <t>26-HP-2502 Økt refusjon for ressurskrevende tjenester</t>
  </si>
  <si>
    <t>26-HP-2503 Unngå innleie av vakanser</t>
  </si>
  <si>
    <t>26-HP-2504 Indeksregulere husleie</t>
  </si>
  <si>
    <t>26-HP-2507 Flytting av flere funksjoner til kommunehuset og utleie av lokaler</t>
  </si>
  <si>
    <t>26-HP-2519 Endring i brukerbetaling</t>
  </si>
  <si>
    <t>26-HP-2520 Bosetting av flyktninger</t>
  </si>
  <si>
    <t>26-HP-2524 Økning i inntekt eiendomsskatt - nye objekter</t>
  </si>
  <si>
    <t>26-HP-2526 Justert tilskudd til Folkehallene IKS</t>
  </si>
  <si>
    <t>26-HP-2527 NKS110 IKS - driftstilskudd</t>
  </si>
  <si>
    <t>26-HP-2528 Justere eiendomsskatt med kommunal deflator</t>
  </si>
  <si>
    <t>25-HP-2299 VA-sanering Grødem</t>
  </si>
  <si>
    <t>25-HP-2255 Etablering driftskontrollanlegg</t>
  </si>
  <si>
    <t>26-HP-2259 IKT- og digitaliseringsinvesteringer</t>
  </si>
  <si>
    <t>25-HP-2252 Vann- og avløpsprosjekter</t>
  </si>
  <si>
    <t>26-HP-2258 Oppgradering boliger og bofellesskap</t>
  </si>
  <si>
    <t>26-HP-2261 Utbedring tekniske anlegg på bygg</t>
  </si>
  <si>
    <t>26-HP-2293 Utbedringer Grødem kirke</t>
  </si>
  <si>
    <t>26-HP-2416 Flere sykehjemsplasser på Vardheimsområdet</t>
  </si>
  <si>
    <t>26-HP-2267 Utbedring bygg - oppvekst</t>
  </si>
  <si>
    <t>26-HP-2262 Områdeplaner</t>
  </si>
  <si>
    <t>26-HP-2263 Nyanlegg gatelys</t>
  </si>
  <si>
    <t>26-HP-2264 Energitiltak</t>
  </si>
  <si>
    <t>26-HP-2402 Harestad ungdomsskole vannlekkasje</t>
  </si>
  <si>
    <t>26-HP-2407 Rehabilitering Tungenes fyr</t>
  </si>
  <si>
    <t>26-HP-2421 Vistnestunet</t>
  </si>
  <si>
    <t>26-HP-2266 Chromebooker til elever på femte og åttende trinn</t>
  </si>
  <si>
    <t>26-HP-2386 Dunker for glass og metallembalasje</t>
  </si>
  <si>
    <t>25-HP-2254 Utbedring av kommunehuset</t>
  </si>
  <si>
    <t>25-HP-2270 Utskiftning biler - teknisk drift</t>
  </si>
  <si>
    <t>25-HP-2271 Oppgradering turstier</t>
  </si>
  <si>
    <t>25-HP-2275 Forprosjekt tilkobling avløp spredt bebyggelse</t>
  </si>
  <si>
    <t>26-HP-2272 Nedgravd renovasjonsanlegg</t>
  </si>
  <si>
    <t>26-HP-2273 Asfaltering</t>
  </si>
  <si>
    <t>26-HP-2274 Renovering pumpetasjoner</t>
  </si>
  <si>
    <t>26-HP-2412 Harestad ungdomskole - Personellkurv for fasadevedlikehold</t>
  </si>
  <si>
    <t>26-HP-2277 Utbedring uteområder skoler og barnehager</t>
  </si>
  <si>
    <t>26-HP-2405 Storskjermer - Harestad skole</t>
  </si>
  <si>
    <t>25-HP-2294 Innkjøp maskiner/utstyr</t>
  </si>
  <si>
    <t>26-HP-2422 Utnyttelse av kommunehuset</t>
  </si>
  <si>
    <t>25-HP-2265 Utbedring teknisk lager</t>
  </si>
  <si>
    <t>26-HP-2268 Utbedring bygg - Helse</t>
  </si>
  <si>
    <t>26-HP-2282 Nærmiljøanlegg</t>
  </si>
  <si>
    <t>26-HP-2283 Utbedring lekeplasser</t>
  </si>
  <si>
    <t>26-HP-2396 Utstyr til vann og avløp</t>
  </si>
  <si>
    <t>26-HP-2403 Goa skole garderobe</t>
  </si>
  <si>
    <t>26-HP-2410 Harestad skole Torvmyrveien 7</t>
  </si>
  <si>
    <t>26-HP-2449 Oppgradering av veillysanlegget</t>
  </si>
  <si>
    <t>26-HP-2285 Utbedring bygg - Kultur og idrett</t>
  </si>
  <si>
    <t>24-HP-2287 Fjellprydveien 4 – Leie-til-eie</t>
  </si>
  <si>
    <t>26-HP-1998 Fotogrammetriske FKB-prosjekt - oppdatering av kommunens kartdata</t>
  </si>
  <si>
    <t>26-HP-2289 Torget</t>
  </si>
  <si>
    <t>26-HP-2290 Oppgradering større skur</t>
  </si>
  <si>
    <t>26-HP-2413 Renholdsmaskiner</t>
  </si>
  <si>
    <t>26-HP-2284 Bysykkelen</t>
  </si>
  <si>
    <t>25-HP-2269 Nytt tak - Friluftslivet hus</t>
  </si>
  <si>
    <t>25-HP-2279 Algebekjempelse Hålandsvatnet</t>
  </si>
  <si>
    <t>26-HP-2298 Robustboliger</t>
  </si>
  <si>
    <t>26-HP-2300 Maritimt vitensenter</t>
  </si>
  <si>
    <t>26-HP-2398 Renovasjonsbil</t>
  </si>
  <si>
    <t>26-HP-2523 Startlån</t>
  </si>
  <si>
    <t>25-HP-2302 Randaberg tennisklubb - nye tennisbaner</t>
  </si>
  <si>
    <t>26-HP-2303 Økt utbytte og avdrag på lån på Lyse</t>
  </si>
  <si>
    <t>Skriv inn gruppe</t>
  </si>
  <si>
    <t>26-HP-2441 Oppsigelse Tilskuddsportalen og Redusert behov fritidskontakt</t>
  </si>
  <si>
    <t>26-HP-2455 Utøvelse av håndhevingsmyndighet på parkering</t>
  </si>
  <si>
    <t>26-HP-2493 Vakante stillinger på Miljø- og samfunnsutvikling og Kultur</t>
  </si>
  <si>
    <t>26-HP-2278 Ny avtale med Landsbyforeningen</t>
  </si>
  <si>
    <t>26-HP-2488 Effektiviseringstiltak (system, abonnement, vurdering av løsninger og stillinger)</t>
  </si>
  <si>
    <t>26-HP-2505 Utsette rekruttering av ansatte ved pensjon</t>
  </si>
  <si>
    <t>24-HP-2257 Oppgradering av ventilasjon og kjøleanlegg ved sykehjemmet</t>
  </si>
  <si>
    <t>26-HP-2401 Utskiftning av heis på Vardheim 4A / 4B</t>
  </si>
  <si>
    <t>26-HP-2291 Navnet minnelund, Grødem kirkegård</t>
  </si>
  <si>
    <t>26-HP-2534 Utskiftning av heis på Landsbyhuset</t>
  </si>
  <si>
    <t>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</si>
</sst>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_-;\-* #,##0.00_-;_-* &quot;-&quot;??_-;_-@_-"/>
    <numFmt numFmtId="165" formatCode="_-* #,##0_-;\-* #,##0_-;_-* &quot;-&quot;??_-;_-@_-"/>
    <numFmt numFmtId="166" formatCode="0.0\ %"/>
    <numFmt numFmtId="167" formatCode="_ * #,##0_ ;_ * \-#,##0_ ;_ * &quot;-&quot;??_ ;_ @_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20"/>
      <color rgb="FF0070C0"/>
      <name val="Trebuchet MS"/>
      <family val="2"/>
    </font>
    <font>
      <sz val="14"/>
      <name val="Trebuchet MS"/>
      <family val="2"/>
    </font>
    <font>
      <sz val="20"/>
      <color rgb="FF4C9C2E"/>
      <name val="Trebuchet MS"/>
      <family val="2"/>
    </font>
    <font>
      <b/>
      <sz val="14"/>
      <color theme="0"/>
      <name val="Trebuchet MS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rgb="FF4C9C2E"/>
      <name val="Trebuchet MS"/>
      <family val="2"/>
    </font>
    <font>
      <b/>
      <sz val="11"/>
      <color rgb="FFD7C724"/>
      <name val="Trebuchet MS"/>
      <family val="2"/>
    </font>
    <font>
      <b/>
      <sz val="11"/>
      <color rgb="FF177FA9"/>
      <name val="Trebuchet MS"/>
      <family val="2"/>
    </font>
    <font>
      <sz val="20"/>
      <color rgb="FF4C9C2E"/>
      <name val="Arial Black"/>
      <family val="2"/>
    </font>
    <font>
      <b/>
      <sz val="8"/>
      <color theme="1"/>
      <name val="Trebuchet MS"/>
      <family val="2"/>
    </font>
    <font>
      <b/>
      <sz val="20"/>
      <color theme="1"/>
      <name val="Trebuchet MS"/>
      <family val="2"/>
    </font>
    <font>
      <sz val="11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C9C2E"/>
        <bgColor indexed="64"/>
      </patternFill>
    </fill>
    <fill>
      <patternFill patternType="solid">
        <fgColor rgb="FF3CB4E5"/>
        <bgColor indexed="64"/>
      </patternFill>
    </fill>
    <fill>
      <patternFill patternType="solid">
        <fgColor rgb="FF177FA9"/>
        <bgColor indexed="64"/>
      </patternFill>
    </fill>
    <fill>
      <patternFill patternType="solid">
        <fgColor rgb="FF43682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2">
    <xf numFmtId="0" fontId="0" fillId="0" borderId="0" xfId="0"/>
    <xf numFmtId="0" fontId="18" fillId="0" borderId="0" xfId="0" quotePrefix="1" applyFont="1"/>
    <xf numFmtId="0" fontId="18" fillId="0" borderId="0" xfId="0" applyFont="1"/>
    <xf numFmtId="165" fontId="18" fillId="0" borderId="0" xfId="1" applyNumberFormat="1" applyFont="1"/>
    <xf numFmtId="165" fontId="18" fillId="0" borderId="0" xfId="0" applyNumberFormat="1" applyFont="1"/>
    <xf numFmtId="10" fontId="0" fillId="0" borderId="0" xfId="2" applyNumberFormat="1" applyFont="1"/>
    <xf numFmtId="0" fontId="19" fillId="33" borderId="0" xfId="0" applyFont="1" applyFill="1"/>
    <xf numFmtId="0" fontId="20" fillId="0" borderId="0" xfId="0" applyFont="1"/>
    <xf numFmtId="0" fontId="20" fillId="0" borderId="0" xfId="0" applyFont="1" applyAlignment="1">
      <alignment horizontal="center"/>
    </xf>
    <xf numFmtId="0" fontId="18" fillId="0" borderId="12" xfId="0" applyFont="1" applyBorder="1"/>
    <xf numFmtId="0" fontId="18" fillId="0" borderId="15" xfId="0" applyFont="1" applyBorder="1"/>
    <xf numFmtId="3" fontId="18" fillId="0" borderId="0" xfId="1" applyNumberFormat="1" applyFont="1"/>
    <xf numFmtId="3" fontId="18" fillId="0" borderId="12" xfId="1" applyNumberFormat="1" applyFont="1" applyBorder="1"/>
    <xf numFmtId="3" fontId="18" fillId="0" borderId="0" xfId="1" applyNumberFormat="1" applyFont="1" applyBorder="1"/>
    <xf numFmtId="3" fontId="18" fillId="0" borderId="15" xfId="1" applyNumberFormat="1" applyFont="1" applyBorder="1"/>
    <xf numFmtId="3" fontId="18" fillId="0" borderId="0" xfId="0" applyNumberFormat="1" applyFont="1"/>
    <xf numFmtId="3" fontId="18" fillId="0" borderId="12" xfId="0" applyNumberFormat="1" applyFont="1" applyBorder="1"/>
    <xf numFmtId="3" fontId="18" fillId="0" borderId="15" xfId="0" applyNumberFormat="1" applyFont="1" applyBorder="1"/>
    <xf numFmtId="165" fontId="18" fillId="34" borderId="16" xfId="0" applyNumberFormat="1" applyFont="1" applyFill="1" applyBorder="1"/>
    <xf numFmtId="0" fontId="18" fillId="0" borderId="0" xfId="1" applyNumberFormat="1" applyFont="1" applyAlignment="1">
      <alignment horizontal="center"/>
    </xf>
    <xf numFmtId="0" fontId="21" fillId="0" borderId="0" xfId="0" applyFont="1"/>
    <xf numFmtId="0" fontId="18" fillId="34" borderId="19" xfId="0" quotePrefix="1" applyFont="1" applyFill="1" applyBorder="1"/>
    <xf numFmtId="165" fontId="18" fillId="34" borderId="20" xfId="0" applyNumberFormat="1" applyFont="1" applyFill="1" applyBorder="1"/>
    <xf numFmtId="0" fontId="18" fillId="34" borderId="17" xfId="0" applyFont="1" applyFill="1" applyBorder="1" applyAlignment="1">
      <alignment horizontal="left"/>
    </xf>
    <xf numFmtId="0" fontId="18" fillId="34" borderId="10" xfId="0" applyFont="1" applyFill="1" applyBorder="1" applyAlignment="1">
      <alignment horizontal="left"/>
    </xf>
    <xf numFmtId="0" fontId="18" fillId="34" borderId="18" xfId="0" applyFont="1" applyFill="1" applyBorder="1" applyAlignment="1">
      <alignment horizontal="left"/>
    </xf>
    <xf numFmtId="0" fontId="0" fillId="0" borderId="11" xfId="0" applyBorder="1"/>
    <xf numFmtId="10" fontId="18" fillId="0" borderId="0" xfId="0" applyNumberFormat="1" applyFont="1"/>
    <xf numFmtId="166" fontId="18" fillId="0" borderId="0" xfId="2" applyNumberFormat="1" applyFont="1"/>
    <xf numFmtId="166" fontId="18" fillId="0" borderId="0" xfId="0" applyNumberFormat="1" applyFont="1"/>
    <xf numFmtId="0" fontId="22" fillId="0" borderId="0" xfId="0" applyFont="1"/>
    <xf numFmtId="0" fontId="23" fillId="0" borderId="11" xfId="0" applyFont="1" applyBorder="1" applyAlignment="1">
      <alignment vertical="top"/>
    </xf>
    <xf numFmtId="0" fontId="18" fillId="36" borderId="16" xfId="0" applyFont="1" applyFill="1" applyBorder="1" applyProtection="1">
      <protection locked="0"/>
    </xf>
    <xf numFmtId="165" fontId="18" fillId="36" borderId="16" xfId="1" applyNumberFormat="1" applyFont="1" applyFill="1" applyBorder="1" applyProtection="1">
      <protection locked="0"/>
    </xf>
    <xf numFmtId="0" fontId="24" fillId="0" borderId="0" xfId="0" applyFont="1"/>
    <xf numFmtId="0" fontId="19" fillId="38" borderId="0" xfId="0" applyFont="1" applyFill="1"/>
    <xf numFmtId="165" fontId="19" fillId="38" borderId="0" xfId="1" applyNumberFormat="1" applyFont="1" applyFill="1" applyBorder="1"/>
    <xf numFmtId="0" fontId="19" fillId="39" borderId="0" xfId="0" applyFont="1" applyFill="1"/>
    <xf numFmtId="3" fontId="19" fillId="37" borderId="12" xfId="1" applyNumberFormat="1" applyFont="1" applyFill="1" applyBorder="1"/>
    <xf numFmtId="3" fontId="19" fillId="37" borderId="0" xfId="1" applyNumberFormat="1" applyFont="1" applyFill="1" applyBorder="1"/>
    <xf numFmtId="3" fontId="19" fillId="37" borderId="15" xfId="1" applyNumberFormat="1" applyFont="1" applyFill="1" applyBorder="1"/>
    <xf numFmtId="3" fontId="19" fillId="40" borderId="12" xfId="0" applyNumberFormat="1" applyFont="1" applyFill="1" applyBorder="1"/>
    <xf numFmtId="3" fontId="19" fillId="40" borderId="0" xfId="0" applyNumberFormat="1" applyFont="1" applyFill="1"/>
    <xf numFmtId="3" fontId="19" fillId="40" borderId="15" xfId="0" applyNumberFormat="1" applyFont="1" applyFill="1" applyBorder="1"/>
    <xf numFmtId="10" fontId="19" fillId="40" borderId="12" xfId="2" applyNumberFormat="1" applyFont="1" applyFill="1" applyBorder="1"/>
    <xf numFmtId="10" fontId="19" fillId="40" borderId="0" xfId="2" applyNumberFormat="1" applyFont="1" applyFill="1" applyBorder="1"/>
    <xf numFmtId="10" fontId="19" fillId="40" borderId="15" xfId="2" applyNumberFormat="1" applyFont="1" applyFill="1" applyBorder="1"/>
    <xf numFmtId="0" fontId="18" fillId="0" borderId="0" xfId="0" applyFont="1" applyAlignment="1">
      <alignment horizontal="right" indent="1"/>
    </xf>
    <xf numFmtId="3" fontId="19" fillId="38" borderId="0" xfId="1" applyNumberFormat="1" applyFont="1" applyFill="1" applyBorder="1"/>
    <xf numFmtId="3" fontId="19" fillId="39" borderId="0" xfId="1" applyNumberFormat="1" applyFont="1" applyFill="1"/>
    <xf numFmtId="165" fontId="0" fillId="0" borderId="0" xfId="1" applyNumberFormat="1" applyFont="1" applyFill="1" applyAlignment="1" applyProtection="1">
      <alignment wrapText="1"/>
    </xf>
    <xf numFmtId="0" fontId="0" fillId="0" borderId="0" xfId="0" applyAlignment="1">
      <alignment wrapText="1"/>
    </xf>
    <xf numFmtId="165" fontId="0" fillId="42" borderId="0" xfId="1" applyNumberFormat="1" applyFont="1" applyFill="1" applyAlignment="1" applyProtection="1"/>
    <xf numFmtId="165" fontId="0" fillId="0" borderId="0" xfId="1" applyNumberFormat="1" applyFont="1" applyFill="1" applyAlignment="1" applyProtection="1"/>
    <xf numFmtId="167" fontId="0" fillId="0" borderId="0" xfId="0" applyNumberFormat="1"/>
    <xf numFmtId="165" fontId="0" fillId="41" borderId="0" xfId="1" applyNumberFormat="1" applyFont="1" applyFill="1" applyAlignment="1" applyProtection="1"/>
    <xf numFmtId="167" fontId="26" fillId="43" borderId="0" xfId="0" applyNumberFormat="1" applyFont="1" applyFill="1"/>
    <xf numFmtId="165" fontId="0" fillId="41" borderId="0" xfId="1" applyNumberFormat="1" applyFont="1" applyFill="1" applyAlignment="1" applyProtection="1">
      <alignment horizontal="right"/>
    </xf>
    <xf numFmtId="49" fontId="27" fillId="0" borderId="0" xfId="1" applyNumberFormat="1" applyFont="1" applyFill="1" applyAlignment="1" applyProtection="1"/>
    <xf numFmtId="165" fontId="0" fillId="0" borderId="0" xfId="0" applyNumberFormat="1"/>
    <xf numFmtId="166" fontId="0" fillId="0" borderId="0" xfId="2" applyNumberFormat="1" applyFont="1" applyFill="1" applyAlignment="1" applyProtection="1"/>
    <xf numFmtId="10" fontId="0" fillId="0" borderId="0" xfId="2" applyNumberFormat="1" applyFont="1" applyFill="1" applyAlignment="1" applyProtection="1"/>
    <xf numFmtId="165" fontId="17" fillId="43" borderId="0" xfId="0" applyNumberFormat="1" applyFont="1" applyFill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9" fontId="18" fillId="0" borderId="0" xfId="2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9" fontId="18" fillId="0" borderId="0" xfId="0" applyNumberFormat="1" applyFont="1"/>
    <xf numFmtId="0" fontId="32" fillId="0" borderId="0" xfId="0" applyFont="1"/>
    <xf numFmtId="0" fontId="34" fillId="0" borderId="0" xfId="0" applyFont="1" applyAlignment="1">
      <alignment horizontal="left"/>
    </xf>
    <xf numFmtId="0" fontId="33" fillId="0" borderId="0" xfId="0" applyFont="1" applyAlignment="1">
      <alignment wrapText="1"/>
    </xf>
    <xf numFmtId="0" fontId="33" fillId="0" borderId="0" xfId="0" applyFont="1" applyAlignment="1">
      <alignment vertical="top" wrapText="1"/>
    </xf>
    <xf numFmtId="10" fontId="33" fillId="0" borderId="0" xfId="0" applyNumberFormat="1" applyFont="1" applyAlignment="1">
      <alignment vertical="top" wrapText="1"/>
    </xf>
    <xf numFmtId="10" fontId="30" fillId="0" borderId="0" xfId="2" applyNumberFormat="1" applyFont="1" applyAlignment="1">
      <alignment horizontal="left"/>
    </xf>
    <xf numFmtId="10" fontId="29" fillId="0" borderId="0" xfId="2" applyNumberFormat="1" applyFont="1" applyAlignment="1">
      <alignment horizontal="left"/>
    </xf>
    <xf numFmtId="10" fontId="31" fillId="0" borderId="0" xfId="2" applyNumberFormat="1" applyFont="1" applyAlignment="1">
      <alignment horizontal="left" indent="5"/>
    </xf>
    <xf numFmtId="10" fontId="33" fillId="0" borderId="0" xfId="0" applyNumberFormat="1" applyFont="1" applyAlignment="1">
      <alignment wrapText="1"/>
    </xf>
    <xf numFmtId="10" fontId="31" fillId="0" borderId="0" xfId="2" applyNumberFormat="1" applyFont="1"/>
    <xf numFmtId="10" fontId="30" fillId="0" borderId="0" xfId="2" applyNumberFormat="1" applyFont="1" applyAlignment="1">
      <alignment horizontal="left" indent="5"/>
    </xf>
    <xf numFmtId="10" fontId="29" fillId="0" borderId="0" xfId="2" applyNumberFormat="1" applyFont="1" applyAlignment="1">
      <alignment horizontal="left" indent="5"/>
    </xf>
    <xf numFmtId="10" fontId="29" fillId="0" borderId="0" xfId="2" applyNumberFormat="1" applyFont="1"/>
    <xf numFmtId="9" fontId="0" fillId="0" borderId="0" xfId="2" applyFont="1"/>
    <xf numFmtId="167" fontId="0" fillId="41" borderId="0" xfId="0" applyNumberFormat="1" applyFill="1"/>
    <xf numFmtId="0" fontId="0" fillId="41" borderId="0" xfId="0" applyFill="1"/>
    <xf numFmtId="167" fontId="35" fillId="41" borderId="0" xfId="0" applyNumberFormat="1" applyFont="1" applyFill="1"/>
    <xf numFmtId="165" fontId="0" fillId="0" borderId="0" xfId="1" applyNumberFormat="1" applyFont="1"/>
    <xf numFmtId="3" fontId="19" fillId="33" borderId="0" xfId="0" applyNumberFormat="1" applyFont="1" applyFill="1"/>
    <xf numFmtId="166" fontId="19" fillId="39" borderId="0" xfId="2" applyNumberFormat="1" applyFont="1" applyFill="1"/>
    <xf numFmtId="166" fontId="19" fillId="40" borderId="0" xfId="2" applyNumberFormat="1" applyFont="1" applyFill="1"/>
    <xf numFmtId="166" fontId="0" fillId="0" borderId="0" xfId="2" applyNumberFormat="1" applyFont="1"/>
    <xf numFmtId="166" fontId="31" fillId="0" borderId="0" xfId="2" applyNumberFormat="1" applyFont="1" applyAlignment="1">
      <alignment horizontal="left"/>
    </xf>
    <xf numFmtId="166" fontId="30" fillId="0" borderId="0" xfId="2" applyNumberFormat="1" applyFont="1" applyAlignment="1">
      <alignment horizontal="left"/>
    </xf>
    <xf numFmtId="49" fontId="27" fillId="44" borderId="0" xfId="1" applyNumberFormat="1" applyFont="1" applyFill="1" applyAlignment="1" applyProtection="1"/>
    <xf numFmtId="167" fontId="26" fillId="44" borderId="0" xfId="0" applyNumberFormat="1" applyFont="1" applyFill="1"/>
    <xf numFmtId="0" fontId="33" fillId="0" borderId="0" xfId="0" applyFont="1" applyAlignment="1">
      <alignment horizontal="left" vertical="center" wrapText="1" indent="3"/>
    </xf>
    <xf numFmtId="0" fontId="33" fillId="0" borderId="0" xfId="0" applyFont="1" applyAlignment="1">
      <alignment horizontal="right" wrapText="1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top" wrapText="1"/>
    </xf>
    <xf numFmtId="0" fontId="25" fillId="37" borderId="17" xfId="0" applyFont="1" applyFill="1" applyBorder="1" applyAlignment="1" applyProtection="1">
      <alignment horizontal="left"/>
      <protection locked="0"/>
    </xf>
    <xf numFmtId="0" fontId="25" fillId="37" borderId="10" xfId="0" applyFont="1" applyFill="1" applyBorder="1" applyAlignment="1" applyProtection="1">
      <alignment horizontal="left"/>
      <protection locked="0"/>
    </xf>
    <xf numFmtId="0" fontId="25" fillId="37" borderId="18" xfId="0" applyFont="1" applyFill="1" applyBorder="1" applyAlignment="1" applyProtection="1">
      <alignment horizontal="left"/>
      <protection locked="0"/>
    </xf>
    <xf numFmtId="0" fontId="20" fillId="0" borderId="1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165" fontId="18" fillId="34" borderId="17" xfId="1" applyNumberFormat="1" applyFont="1" applyFill="1" applyBorder="1" applyAlignment="1">
      <alignment horizontal="left"/>
    </xf>
    <xf numFmtId="165" fontId="18" fillId="34" borderId="10" xfId="1" applyNumberFormat="1" applyFont="1" applyFill="1" applyBorder="1" applyAlignment="1">
      <alignment horizontal="left"/>
    </xf>
    <xf numFmtId="165" fontId="18" fillId="35" borderId="17" xfId="1" applyNumberFormat="1" applyFont="1" applyFill="1" applyBorder="1" applyAlignment="1" applyProtection="1">
      <alignment horizontal="left"/>
      <protection locked="0"/>
    </xf>
    <xf numFmtId="165" fontId="18" fillId="35" borderId="10" xfId="1" applyNumberFormat="1" applyFont="1" applyFill="1" applyBorder="1" applyAlignment="1" applyProtection="1">
      <alignment horizontal="left"/>
      <protection locked="0"/>
    </xf>
    <xf numFmtId="165" fontId="18" fillId="35" borderId="18" xfId="1" applyNumberFormat="1" applyFont="1" applyFill="1" applyBorder="1" applyAlignment="1" applyProtection="1">
      <alignment horizontal="left"/>
      <protection locked="0"/>
    </xf>
    <xf numFmtId="165" fontId="21" fillId="0" borderId="11" xfId="1" applyNumberFormat="1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165" fontId="18" fillId="34" borderId="18" xfId="1" applyNumberFormat="1" applyFont="1" applyFill="1" applyBorder="1" applyAlignment="1">
      <alignment horizontal="left"/>
    </xf>
    <xf numFmtId="0" fontId="18" fillId="35" borderId="17" xfId="0" applyFont="1" applyFill="1" applyBorder="1" applyAlignment="1" applyProtection="1">
      <alignment horizontal="left"/>
      <protection locked="0"/>
    </xf>
    <xf numFmtId="0" fontId="18" fillId="35" borderId="10" xfId="0" applyFont="1" applyFill="1" applyBorder="1" applyAlignment="1" applyProtection="1">
      <alignment horizontal="left"/>
      <protection locked="0"/>
    </xf>
    <xf numFmtId="0" fontId="18" fillId="35" borderId="18" xfId="0" applyFont="1" applyFill="1" applyBorder="1" applyAlignment="1" applyProtection="1">
      <alignment horizontal="left"/>
      <protection locked="0"/>
    </xf>
    <xf numFmtId="10" fontId="18" fillId="0" borderId="0" xfId="2" applyNumberFormat="1" applyFont="1"/>
  </cellXfs>
  <cellStyles count="44">
    <cellStyle name="20 % – uthevingsfarge 1" xfId="21" builtinId="30" customBuiltin="1"/>
    <cellStyle name="20 % – uthevingsfarge 2" xfId="25" builtinId="34" customBuiltin="1"/>
    <cellStyle name="20 % – uthevingsfarge 3" xfId="29" builtinId="38" customBuiltin="1"/>
    <cellStyle name="20 % – uthevingsfarge 4" xfId="33" builtinId="42" customBuiltin="1"/>
    <cellStyle name="20 % – uthevingsfarge 5" xfId="37" builtinId="46" customBuiltin="1"/>
    <cellStyle name="20 % – uthevingsfarge 6" xfId="41" builtinId="50" customBuiltin="1"/>
    <cellStyle name="40 % – uthevingsfarge 1" xfId="22" builtinId="31" customBuiltin="1"/>
    <cellStyle name="40 % – uthevingsfarge 2" xfId="26" builtinId="35" customBuiltin="1"/>
    <cellStyle name="40 % – uthevingsfarge 3" xfId="30" builtinId="39" customBuiltin="1"/>
    <cellStyle name="40 % – uthevingsfarge 4" xfId="34" builtinId="43" customBuiltin="1"/>
    <cellStyle name="40 % – uthevingsfarge 5" xfId="38" builtinId="47" customBuiltin="1"/>
    <cellStyle name="40 % – uthevingsfarge 6" xfId="42" builtinId="51" customBuiltin="1"/>
    <cellStyle name="60 % – uthevingsfarge 1" xfId="23" builtinId="32" customBuiltin="1"/>
    <cellStyle name="60 % – uthevingsfarge 2" xfId="27" builtinId="36" customBuiltin="1"/>
    <cellStyle name="60 % – uthevingsfarge 3" xfId="31" builtinId="40" customBuiltin="1"/>
    <cellStyle name="60 % – uthevingsfarge 4" xfId="35" builtinId="44" customBuiltin="1"/>
    <cellStyle name="60 % – uthevingsfarge 5" xfId="39" builtinId="48" customBuiltin="1"/>
    <cellStyle name="60 % – uthevingsfarge 6" xfId="43" builtinId="52" customBuiltin="1"/>
    <cellStyle name="Beregning" xfId="13" builtinId="22" customBuiltin="1"/>
    <cellStyle name="Dårlig" xfId="9" builtinId="27" customBuiltin="1"/>
    <cellStyle name="Forklarende tekst" xfId="18" builtinId="53" customBuiltin="1"/>
    <cellStyle name="God" xfId="8" builtinId="26" customBuiltin="1"/>
    <cellStyle name="Inndata" xfId="11" builtinId="20" customBuiltin="1"/>
    <cellStyle name="Koblet celle" xfId="14" builtinId="24" customBuiltin="1"/>
    <cellStyle name="Komma" xfId="1" builtinId="3"/>
    <cellStyle name="Kontrollcelle" xfId="15" builtinId="23" customBuiltin="1"/>
    <cellStyle name="Merknad" xfId="17" builtinId="10" customBuiltin="1"/>
    <cellStyle name="Normal" xfId="0" builtinId="0"/>
    <cellStyle name="Nøytral" xfId="10" builtinId="28" customBuiltin="1"/>
    <cellStyle name="Overskrift 1" xfId="4" builtinId="16" customBuiltin="1"/>
    <cellStyle name="Overskrift 2" xfId="5" builtinId="17" customBuiltin="1"/>
    <cellStyle name="Overskrift 3" xfId="6" builtinId="18" customBuiltin="1"/>
    <cellStyle name="Overskrift 4" xfId="7" builtinId="19" customBuiltin="1"/>
    <cellStyle name="Prosent" xfId="2" builtinId="5"/>
    <cellStyle name="Tittel" xfId="3" builtinId="15" customBuiltin="1"/>
    <cellStyle name="Totalt" xfId="19" builtinId="25" customBuiltin="1"/>
    <cellStyle name="Utdata" xfId="12" builtinId="21" customBuiltin="1"/>
    <cellStyle name="Uthevingsfarge1" xfId="20" builtinId="29" customBuiltin="1"/>
    <cellStyle name="Uthevingsfarge2" xfId="24" builtinId="33" customBuiltin="1"/>
    <cellStyle name="Uthevingsfarge3" xfId="28" builtinId="37" customBuiltin="1"/>
    <cellStyle name="Uthevingsfarge4" xfId="32" builtinId="41" customBuiltin="1"/>
    <cellStyle name="Uthevingsfarge5" xfId="36" builtinId="45" customBuiltin="1"/>
    <cellStyle name="Uthevingsfarge6" xfId="40" builtinId="49" customBuiltin="1"/>
    <cellStyle name="Varseltekst" xfId="16" builtinId="11" customBuiltin="1"/>
  </cellStyles>
  <dxfs count="0"/>
  <tableStyles count="1" defaultTableStyle="TableStyleMedium2" defaultPivotStyle="PivotStyleLight16">
    <tableStyle name="Invisible" pivot="0" table="0" count="0" xr9:uid="{168CA27A-12C8-4C50-8728-D98CA999591A}"/>
  </tableStyles>
  <colors>
    <mruColors>
      <color rgb="FFEAE07E"/>
      <color rgb="FFD7C724"/>
      <color rgb="FF26ACE2"/>
      <color rgb="FF177FA9"/>
      <color rgb="FF4C9C2E"/>
      <color rgb="FF3CB4E5"/>
      <color rgb="FF436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98682162617965E-2"/>
          <c:y val="1.2962892716293922E-2"/>
          <c:w val="0.93245173482798593"/>
          <c:h val="0.92178627578423145"/>
        </c:manualLayout>
      </c:layout>
      <c:radarChart>
        <c:radarStyle val="marker"/>
        <c:varyColors val="0"/>
        <c:ser>
          <c:idx val="2"/>
          <c:order val="0"/>
          <c:tx>
            <c:strRef>
              <c:f>'BEREGNING NØKKELTALL'!$I$84</c:f>
              <c:strCache>
                <c:ptCount val="1"/>
                <c:pt idx="0">
                  <c:v>Kommunedirektørens budsjettforslag 2026</c:v>
                </c:pt>
              </c:strCache>
            </c:strRef>
          </c:tx>
          <c:spPr>
            <a:ln>
              <a:solidFill>
                <a:srgbClr val="177FA9"/>
              </a:solidFill>
            </a:ln>
          </c:spPr>
          <c:marker>
            <c:symbol val="none"/>
          </c:marker>
          <c:cat>
            <c:strRef>
              <c:f>'BEREGNING NØKKELTALL'!$H$85:$H$87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NØKKELTALL'!$I$85:$I$87</c:f>
              <c:numCache>
                <c:formatCode>0%</c:formatCode>
                <c:ptCount val="3"/>
                <c:pt idx="0">
                  <c:v>1.1005009835656006</c:v>
                </c:pt>
                <c:pt idx="1">
                  <c:v>0.9851441346594435</c:v>
                </c:pt>
                <c:pt idx="2">
                  <c:v>0.64986029692501424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E7-4CBF-8C91-A9D51976E6D6}"/>
            </c:ext>
          </c:extLst>
        </c:ser>
        <c:ser>
          <c:idx val="3"/>
          <c:order val="1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>
              <a:solidFill>
                <a:srgbClr val="4C9C2E"/>
              </a:solidFill>
            </a:ln>
          </c:spPr>
          <c:marker>
            <c:symbol val="none"/>
          </c:marker>
          <c:cat>
            <c:strRef>
              <c:f>'BEREGNING NØKKELTALL'!$H$85:$H$87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E7-4CBF-8C91-A9D51976E6D6}"/>
            </c:ext>
          </c:extLst>
        </c:ser>
        <c:ser>
          <c:idx val="0"/>
          <c:order val="2"/>
          <c:tx>
            <c:strRef>
              <c:f>'BEREGNING NØKKELTALL'!$I$84</c:f>
              <c:strCache>
                <c:ptCount val="1"/>
                <c:pt idx="0">
                  <c:v>Kommunedirektørens budsjettforslag 2026</c:v>
                </c:pt>
              </c:strCache>
            </c:strRef>
          </c:tx>
          <c:spPr>
            <a:ln w="28575" cap="rnd">
              <a:solidFill>
                <a:srgbClr val="177FA9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NØKKELTALL'!$H$85:$H$87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NØKKELTALL'!$I$85:$I$87</c:f>
              <c:numCache>
                <c:formatCode>0%</c:formatCode>
                <c:ptCount val="3"/>
                <c:pt idx="0">
                  <c:v>1.1005009835656006</c:v>
                </c:pt>
                <c:pt idx="1">
                  <c:v>0.9851441346594435</c:v>
                </c:pt>
                <c:pt idx="2">
                  <c:v>0.64986029692501424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E7-4CBF-8C91-A9D51976E6D6}"/>
            </c:ext>
          </c:extLst>
        </c:ser>
        <c:ser>
          <c:idx val="1"/>
          <c:order val="3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 w="28575" cap="rnd">
              <a:solidFill>
                <a:srgbClr val="4C9C2E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NØKKELTALL'!$H$85:$H$87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E7-4CBF-8C91-A9D51976E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423832"/>
        <c:axId val="993421864"/>
      </c:radarChart>
      <c:catAx>
        <c:axId val="993423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421864"/>
        <c:crosses val="autoZero"/>
        <c:auto val="1"/>
        <c:lblAlgn val="ctr"/>
        <c:lblOffset val="100"/>
        <c:noMultiLvlLbl val="0"/>
      </c:catAx>
      <c:valAx>
        <c:axId val="99342186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93423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tx1">
          <a:lumMod val="15000"/>
          <a:lumOff val="85000"/>
          <a:alpha val="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Egenfinansiering</a:t>
            </a:r>
            <a:r>
              <a:rPr lang="nb-NO" baseline="0"/>
              <a:t> av investering</a:t>
            </a:r>
            <a:endParaRPr lang="nb-NO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1"/>
          <c:order val="0"/>
          <c:tx>
            <c:strRef>
              <c:f>'BEREGNING NØKKELTALL'!$P$90</c:f>
              <c:strCache>
                <c:ptCount val="1"/>
                <c:pt idx="0">
                  <c:v> Skriv inn gruppe </c:v>
                </c:pt>
              </c:strCache>
            </c:strRef>
          </c:tx>
          <c:dPt>
            <c:idx val="0"/>
            <c:bubble3D val="0"/>
            <c:spPr>
              <a:solidFill>
                <a:srgbClr val="EAE07E"/>
              </a:solidFill>
            </c:spPr>
            <c:extLst>
              <c:ext xmlns:c16="http://schemas.microsoft.com/office/drawing/2014/chart" uri="{C3380CC4-5D6E-409C-BE32-E72D297353CC}">
                <c16:uniqueId val="{00000001-5673-4C16-AFA8-FB3FC8AAD754}"/>
              </c:ext>
            </c:extLst>
          </c:dPt>
          <c:dPt>
            <c:idx val="1"/>
            <c:bubble3D val="0"/>
            <c:spPr>
              <a:solidFill>
                <a:srgbClr val="D7C724"/>
              </a:solidFill>
            </c:spPr>
            <c:extLst>
              <c:ext xmlns:c16="http://schemas.microsoft.com/office/drawing/2014/chart" uri="{C3380CC4-5D6E-409C-BE32-E72D297353CC}">
                <c16:uniqueId val="{00000003-5673-4C16-AFA8-FB3FC8AAD754}"/>
              </c:ext>
            </c:extLst>
          </c:dPt>
          <c:dLbls>
            <c:dLbl>
              <c:idx val="0"/>
              <c:layout>
                <c:manualLayout>
                  <c:x val="-9.0277777777777721E-2"/>
                  <c:y val="0.10185185664267099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66666666666664"/>
                      <c:h val="0.21035706875685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673-4C16-AFA8-FB3FC8AAD754}"/>
                </c:ext>
              </c:extLst>
            </c:dLbl>
            <c:dLbl>
              <c:idx val="1"/>
              <c:layout>
                <c:manualLayout>
                  <c:x val="0.10138888888888889"/>
                  <c:y val="-0.15113501308267319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856933508311463"/>
                      <c:h val="0.130156945510162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673-4C16-AFA8-FB3FC8AAD7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'BEREGNING NØKKELTALL'!$N$91:$N$92</c:f>
              <c:strCache>
                <c:ptCount val="2"/>
                <c:pt idx="0">
                  <c:v> Egenfinansiering av investeringer </c:v>
                </c:pt>
                <c:pt idx="1">
                  <c:v> Lånefinansiering </c:v>
                </c:pt>
              </c:strCache>
            </c:strRef>
          </c:cat>
          <c:val>
            <c:numRef>
              <c:f>'BEREGNING NØKKELTALL'!$P$91:$P$92</c:f>
              <c:numCache>
                <c:formatCode>0%</c:formatCode>
                <c:ptCount val="2"/>
                <c:pt idx="0">
                  <c:v>0.37222237113678402</c:v>
                </c:pt>
                <c:pt idx="1">
                  <c:v>0.62777762886321598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73-4C16-AFA8-FB3FC8AAD754}"/>
            </c:ext>
          </c:extLst>
        </c:ser>
        <c:ser>
          <c:idx val="0"/>
          <c:order val="1"/>
          <c:tx>
            <c:strRef>
              <c:f>'BEREGNING NØKKELTALL'!$O$90</c:f>
              <c:strCache>
                <c:ptCount val="1"/>
                <c:pt idx="0">
                  <c:v> Kommunedirektøren </c:v>
                </c:pt>
              </c:strCache>
            </c:strRef>
          </c:tx>
          <c:dPt>
            <c:idx val="0"/>
            <c:bubble3D val="0"/>
            <c:spPr>
              <a:solidFill>
                <a:srgbClr val="26ACE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673-4C16-AFA8-FB3FC8AAD754}"/>
              </c:ext>
            </c:extLst>
          </c:dPt>
          <c:dPt>
            <c:idx val="1"/>
            <c:bubble3D val="0"/>
            <c:spPr>
              <a:solidFill>
                <a:srgbClr val="177F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673-4C16-AFA8-FB3FC8AAD754}"/>
              </c:ext>
            </c:extLst>
          </c:dPt>
          <c:dLbls>
            <c:dLbl>
              <c:idx val="0"/>
              <c:layout>
                <c:manualLayout>
                  <c:x val="7.6617235345581819E-2"/>
                  <c:y val="-0.36320185811728511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97069116360456"/>
                      <c:h val="0.22640682068536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673-4C16-AFA8-FB3FC8AAD754}"/>
                </c:ext>
              </c:extLst>
            </c:dLbl>
            <c:dLbl>
              <c:idx val="1"/>
              <c:layout>
                <c:manualLayout>
                  <c:x val="-5.2777777777777778E-2"/>
                  <c:y val="0.34378739893072352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34711286089237"/>
                      <c:h val="0.19031525180459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5673-4C16-AFA8-FB3FC8AAD7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'BEREGNING NØKKELTALL'!$N$91:$N$92</c:f>
              <c:strCache>
                <c:ptCount val="2"/>
                <c:pt idx="0">
                  <c:v> Egenfinansiering av investeringer </c:v>
                </c:pt>
                <c:pt idx="1">
                  <c:v> Lånefinansiering </c:v>
                </c:pt>
              </c:strCache>
            </c:strRef>
          </c:cat>
          <c:val>
            <c:numRef>
              <c:f>'BEREGNING NØKKELTALL'!$O$91:$O$92</c:f>
              <c:numCache>
                <c:formatCode>0%</c:formatCode>
                <c:ptCount val="2"/>
                <c:pt idx="0">
                  <c:v>0.37222237113678402</c:v>
                </c:pt>
                <c:pt idx="1">
                  <c:v>0.62777762886321598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73-4C16-AFA8-FB3FC8AAD7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Egenfinansiering</a:t>
            </a:r>
            <a:r>
              <a:rPr lang="nb-NO" baseline="0"/>
              <a:t> av investering</a:t>
            </a:r>
            <a:endParaRPr lang="nb-NO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1"/>
          <c:order val="0"/>
          <c:tx>
            <c:strRef>
              <c:f>'BEREGNING NØKKELTALL'!$P$95</c:f>
              <c:strCache>
                <c:ptCount val="1"/>
                <c:pt idx="0">
                  <c:v> Skriv inn gruppe </c:v>
                </c:pt>
              </c:strCache>
            </c:strRef>
          </c:tx>
          <c:dPt>
            <c:idx val="0"/>
            <c:bubble3D val="0"/>
            <c:spPr>
              <a:solidFill>
                <a:srgbClr val="EAE07E"/>
              </a:solidFill>
            </c:spPr>
            <c:extLst>
              <c:ext xmlns:c16="http://schemas.microsoft.com/office/drawing/2014/chart" uri="{C3380CC4-5D6E-409C-BE32-E72D297353CC}">
                <c16:uniqueId val="{00000001-AA79-4484-86A6-1ED703D44356}"/>
              </c:ext>
            </c:extLst>
          </c:dPt>
          <c:dPt>
            <c:idx val="1"/>
            <c:bubble3D val="0"/>
            <c:spPr>
              <a:solidFill>
                <a:srgbClr val="D7C724"/>
              </a:solidFill>
            </c:spPr>
            <c:extLst>
              <c:ext xmlns:c16="http://schemas.microsoft.com/office/drawing/2014/chart" uri="{C3380CC4-5D6E-409C-BE32-E72D297353CC}">
                <c16:uniqueId val="{00000003-AA79-4484-86A6-1ED703D44356}"/>
              </c:ext>
            </c:extLst>
          </c:dPt>
          <c:dLbls>
            <c:dLbl>
              <c:idx val="0"/>
              <c:layout>
                <c:manualLayout>
                  <c:x val="-9.0277777777777721E-2"/>
                  <c:y val="0.10185185664267099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66666666666664"/>
                      <c:h val="0.21035706875685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A79-4484-86A6-1ED703D44356}"/>
                </c:ext>
              </c:extLst>
            </c:dLbl>
            <c:dLbl>
              <c:idx val="1"/>
              <c:layout>
                <c:manualLayout>
                  <c:x val="0.10138888888888889"/>
                  <c:y val="-0.15113501308267319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856933508311463"/>
                      <c:h val="0.130156945510162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A79-4484-86A6-1ED703D443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'BEREGNING NØKKELTALL'!$N$96:$N$97</c:f>
              <c:strCache>
                <c:ptCount val="2"/>
                <c:pt idx="0">
                  <c:v> Egenfinansiering av investeringer </c:v>
                </c:pt>
                <c:pt idx="1">
                  <c:v> Lånefinansiering </c:v>
                </c:pt>
              </c:strCache>
            </c:strRef>
          </c:cat>
          <c:val>
            <c:numRef>
              <c:f>'BEREGNING NØKKELTALL'!$P$96:$P$97</c:f>
              <c:numCache>
                <c:formatCode>0%</c:formatCode>
                <c:ptCount val="2"/>
                <c:pt idx="0">
                  <c:v>0.48907686072507162</c:v>
                </c:pt>
                <c:pt idx="1">
                  <c:v>0.51092313927492838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79-4484-86A6-1ED703D44356}"/>
            </c:ext>
          </c:extLst>
        </c:ser>
        <c:ser>
          <c:idx val="0"/>
          <c:order val="1"/>
          <c:tx>
            <c:strRef>
              <c:f>'BEREGNING NØKKELTALL'!$O$95</c:f>
              <c:strCache>
                <c:ptCount val="1"/>
                <c:pt idx="0">
                  <c:v> Kommunedirektøren </c:v>
                </c:pt>
              </c:strCache>
            </c:strRef>
          </c:tx>
          <c:dPt>
            <c:idx val="0"/>
            <c:bubble3D val="0"/>
            <c:spPr>
              <a:solidFill>
                <a:srgbClr val="26ACE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A79-4484-86A6-1ED703D44356}"/>
              </c:ext>
            </c:extLst>
          </c:dPt>
          <c:dPt>
            <c:idx val="1"/>
            <c:bubble3D val="0"/>
            <c:spPr>
              <a:solidFill>
                <a:srgbClr val="177F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A79-4484-86A6-1ED703D44356}"/>
              </c:ext>
            </c:extLst>
          </c:dPt>
          <c:dLbls>
            <c:dLbl>
              <c:idx val="0"/>
              <c:layout>
                <c:manualLayout>
                  <c:x val="7.6617235345581819E-2"/>
                  <c:y val="-0.36320185811728511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97069116360456"/>
                      <c:h val="0.22640682068536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A79-4484-86A6-1ED703D44356}"/>
                </c:ext>
              </c:extLst>
            </c:dLbl>
            <c:dLbl>
              <c:idx val="1"/>
              <c:layout>
                <c:manualLayout>
                  <c:x val="-5.2777777777777778E-2"/>
                  <c:y val="0.34378739893072352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34711286089237"/>
                      <c:h val="0.19031525180459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A79-4484-86A6-1ED703D443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'BEREGNING NØKKELTALL'!$N$96:$N$97</c:f>
              <c:strCache>
                <c:ptCount val="2"/>
                <c:pt idx="0">
                  <c:v> Egenfinansiering av investeringer </c:v>
                </c:pt>
                <c:pt idx="1">
                  <c:v> Lånefinansiering </c:v>
                </c:pt>
              </c:strCache>
            </c:strRef>
          </c:cat>
          <c:val>
            <c:numRef>
              <c:f>'BEREGNING NØKKELTALL'!$O$96:$O$97</c:f>
              <c:numCache>
                <c:formatCode>0%</c:formatCode>
                <c:ptCount val="2"/>
                <c:pt idx="0">
                  <c:v>0.48907686072507162</c:v>
                </c:pt>
                <c:pt idx="1">
                  <c:v>0.51092313927492838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A79-4484-86A6-1ED703D443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Egenfinansiering</a:t>
            </a:r>
            <a:r>
              <a:rPr lang="nb-NO" baseline="0"/>
              <a:t> av investering</a:t>
            </a:r>
            <a:endParaRPr lang="nb-NO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1"/>
          <c:order val="0"/>
          <c:tx>
            <c:strRef>
              <c:f>'BEREGNING NØKKELTALL'!$P$100</c:f>
              <c:strCache>
                <c:ptCount val="1"/>
                <c:pt idx="0">
                  <c:v> Skriv inn gruppe </c:v>
                </c:pt>
              </c:strCache>
            </c:strRef>
          </c:tx>
          <c:dPt>
            <c:idx val="0"/>
            <c:bubble3D val="0"/>
            <c:spPr>
              <a:solidFill>
                <a:srgbClr val="EAE07E"/>
              </a:solidFill>
            </c:spPr>
            <c:extLst>
              <c:ext xmlns:c16="http://schemas.microsoft.com/office/drawing/2014/chart" uri="{C3380CC4-5D6E-409C-BE32-E72D297353CC}">
                <c16:uniqueId val="{00000001-2B42-4D35-B843-8B21344AE19A}"/>
              </c:ext>
            </c:extLst>
          </c:dPt>
          <c:dPt>
            <c:idx val="1"/>
            <c:bubble3D val="0"/>
            <c:spPr>
              <a:solidFill>
                <a:srgbClr val="D7C724"/>
              </a:solidFill>
            </c:spPr>
            <c:extLst>
              <c:ext xmlns:c16="http://schemas.microsoft.com/office/drawing/2014/chart" uri="{C3380CC4-5D6E-409C-BE32-E72D297353CC}">
                <c16:uniqueId val="{00000003-2B42-4D35-B843-8B21344AE19A}"/>
              </c:ext>
            </c:extLst>
          </c:dPt>
          <c:dLbls>
            <c:dLbl>
              <c:idx val="0"/>
              <c:layout>
                <c:manualLayout>
                  <c:x val="-9.0277777777777721E-2"/>
                  <c:y val="0.10185185664267099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66666666666664"/>
                      <c:h val="0.21035706875685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B42-4D35-B843-8B21344AE19A}"/>
                </c:ext>
              </c:extLst>
            </c:dLbl>
            <c:dLbl>
              <c:idx val="1"/>
              <c:layout>
                <c:manualLayout>
                  <c:x val="0.10138888888888889"/>
                  <c:y val="-0.15113501308267319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856933508311463"/>
                      <c:h val="0.130156945510162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B42-4D35-B843-8B21344AE1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'BEREGNING NØKKELTALL'!$N$101:$N$102</c:f>
              <c:strCache>
                <c:ptCount val="2"/>
                <c:pt idx="0">
                  <c:v> Egenfinansiering av investeringer </c:v>
                </c:pt>
                <c:pt idx="1">
                  <c:v> Lånefinansiering </c:v>
                </c:pt>
              </c:strCache>
            </c:strRef>
          </c:cat>
          <c:val>
            <c:numRef>
              <c:f>'BEREGNING NØKKELTALL'!$P$101:$P$102</c:f>
              <c:numCache>
                <c:formatCode>0%</c:formatCode>
                <c:ptCount val="2"/>
                <c:pt idx="0">
                  <c:v>0.49022013528009922</c:v>
                </c:pt>
                <c:pt idx="1">
                  <c:v>0.50977986471990078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42-4D35-B843-8B21344AE19A}"/>
            </c:ext>
          </c:extLst>
        </c:ser>
        <c:ser>
          <c:idx val="0"/>
          <c:order val="1"/>
          <c:tx>
            <c:strRef>
              <c:f>'BEREGNING NØKKELTALL'!$O$100</c:f>
              <c:strCache>
                <c:ptCount val="1"/>
                <c:pt idx="0">
                  <c:v> Kommunedirektøren </c:v>
                </c:pt>
              </c:strCache>
            </c:strRef>
          </c:tx>
          <c:dPt>
            <c:idx val="0"/>
            <c:bubble3D val="0"/>
            <c:spPr>
              <a:solidFill>
                <a:srgbClr val="26ACE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B42-4D35-B843-8B21344AE19A}"/>
              </c:ext>
            </c:extLst>
          </c:dPt>
          <c:dPt>
            <c:idx val="1"/>
            <c:bubble3D val="0"/>
            <c:spPr>
              <a:solidFill>
                <a:srgbClr val="177F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B42-4D35-B843-8B21344AE19A}"/>
              </c:ext>
            </c:extLst>
          </c:dPt>
          <c:dLbls>
            <c:dLbl>
              <c:idx val="0"/>
              <c:layout>
                <c:manualLayout>
                  <c:x val="7.6617235345581819E-2"/>
                  <c:y val="-0.36320185811728511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97069116360456"/>
                      <c:h val="0.22640682068536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B42-4D35-B843-8B21344AE19A}"/>
                </c:ext>
              </c:extLst>
            </c:dLbl>
            <c:dLbl>
              <c:idx val="1"/>
              <c:layout>
                <c:manualLayout>
                  <c:x val="-5.2777777777777778E-2"/>
                  <c:y val="0.34378739893072352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34711286089237"/>
                      <c:h val="0.19031525180459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2B42-4D35-B843-8B21344AE1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'BEREGNING NØKKELTALL'!$N$101:$N$102</c:f>
              <c:strCache>
                <c:ptCount val="2"/>
                <c:pt idx="0">
                  <c:v> Egenfinansiering av investeringer </c:v>
                </c:pt>
                <c:pt idx="1">
                  <c:v> Lånefinansiering </c:v>
                </c:pt>
              </c:strCache>
            </c:strRef>
          </c:cat>
          <c:val>
            <c:numRef>
              <c:f>'BEREGNING NØKKELTALL'!$O$101:$O$102</c:f>
              <c:numCache>
                <c:formatCode>0%</c:formatCode>
                <c:ptCount val="2"/>
                <c:pt idx="0">
                  <c:v>0.49022013528009922</c:v>
                </c:pt>
                <c:pt idx="1">
                  <c:v>0.50977986471990078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B42-4D35-B843-8B21344AE1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60600486651243E-2"/>
          <c:y val="6.5981103576146227E-2"/>
          <c:w val="0.93245173482798593"/>
          <c:h val="0.92178627578423145"/>
        </c:manualLayout>
      </c:layout>
      <c:radarChart>
        <c:radarStyle val="marker"/>
        <c:varyColors val="0"/>
        <c:ser>
          <c:idx val="3"/>
          <c:order val="0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>
              <a:solidFill>
                <a:srgbClr val="4C9C2E"/>
              </a:solidFill>
            </a:ln>
          </c:spPr>
          <c:marker>
            <c:symbol val="none"/>
          </c:marker>
          <c:cat>
            <c:strRef>
              <c:f>'BEREGNING NØKKELTALL'!$H$85:$H$87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8-4F6E-88BF-A1630D9F328C}"/>
            </c:ext>
          </c:extLst>
        </c:ser>
        <c:ser>
          <c:idx val="0"/>
          <c:order val="1"/>
          <c:tx>
            <c:strRef>
              <c:f>'BEREGNING NØKKELTALL'!$K$84</c:f>
              <c:strCache>
                <c:ptCount val="1"/>
                <c:pt idx="0">
                  <c:v>Skriv inn gruppes budsjettforslag 2026</c:v>
                </c:pt>
              </c:strCache>
            </c:strRef>
          </c:tx>
          <c:spPr>
            <a:ln w="28575" cap="rnd">
              <a:solidFill>
                <a:srgbClr val="D7C724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NØKKELTALL'!$H$85:$H$87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NØKKELTALL'!$K$85:$K$87</c:f>
              <c:numCache>
                <c:formatCode>0%</c:formatCode>
                <c:ptCount val="3"/>
                <c:pt idx="0">
                  <c:v>1.1005009835656006</c:v>
                </c:pt>
                <c:pt idx="1">
                  <c:v>0.9851441346594435</c:v>
                </c:pt>
                <c:pt idx="2">
                  <c:v>0.64986029692501424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58-4F6E-88BF-A1630D9F328C}"/>
            </c:ext>
          </c:extLst>
        </c:ser>
        <c:ser>
          <c:idx val="1"/>
          <c:order val="2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 w="28575" cap="rnd">
              <a:solidFill>
                <a:srgbClr val="4C9C2E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NØKKELTALL'!$H$85:$H$87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58-4F6E-88BF-A1630D9F3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423832"/>
        <c:axId val="993421864"/>
      </c:radarChart>
      <c:catAx>
        <c:axId val="993423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421864"/>
        <c:crosses val="autoZero"/>
        <c:auto val="1"/>
        <c:lblAlgn val="ctr"/>
        <c:lblOffset val="100"/>
        <c:noMultiLvlLbl val="0"/>
      </c:catAx>
      <c:valAx>
        <c:axId val="99342186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93423832"/>
        <c:crosses val="autoZero"/>
        <c:crossBetween val="between"/>
      </c:valAx>
      <c:spPr>
        <a:noFill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39931285972508E-2"/>
          <c:y val="8.3082873416174315E-3"/>
          <c:w val="0.93245173482798593"/>
          <c:h val="0.92178627578423145"/>
        </c:manualLayout>
      </c:layout>
      <c:radarChart>
        <c:radarStyle val="marker"/>
        <c:varyColors val="0"/>
        <c:ser>
          <c:idx val="4"/>
          <c:order val="0"/>
          <c:tx>
            <c:strRef>
              <c:f>'BEREGNING NØKKELTALL'!$I$89</c:f>
              <c:strCache>
                <c:ptCount val="1"/>
                <c:pt idx="0">
                  <c:v>Kommunedirektørens budsjettforslag 2027</c:v>
                </c:pt>
              </c:strCache>
            </c:strRef>
          </c:tx>
          <c:spPr>
            <a:ln>
              <a:solidFill>
                <a:srgbClr val="177FA9"/>
              </a:solidFill>
            </a:ln>
          </c:spPr>
          <c:marker>
            <c:symbol val="none"/>
          </c:marker>
          <c:cat>
            <c:strRef>
              <c:f>'BEREGNING NØKKELTALL'!$H$90:$H$92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NØKKELTALL'!$I$90:$I$92</c:f>
              <c:numCache>
                <c:formatCode>0%</c:formatCode>
                <c:ptCount val="3"/>
                <c:pt idx="0">
                  <c:v>1.0060795144855281</c:v>
                </c:pt>
                <c:pt idx="1">
                  <c:v>1.0482766939261217</c:v>
                </c:pt>
                <c:pt idx="2">
                  <c:v>0.78329879808255642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B04-4033-97E7-6CB8BFD5D3D8}"/>
            </c:ext>
          </c:extLst>
        </c:ser>
        <c:ser>
          <c:idx val="5"/>
          <c:order val="1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>
              <a:solidFill>
                <a:srgbClr val="4C9C2E"/>
              </a:solidFill>
            </a:ln>
          </c:spPr>
          <c:marker>
            <c:symbol val="none"/>
          </c:marker>
          <c:cat>
            <c:strRef>
              <c:f>'BEREGNING NØKKELTALL'!$H$90:$H$92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B04-4033-97E7-6CB8BFD5D3D8}"/>
            </c:ext>
          </c:extLst>
        </c:ser>
        <c:ser>
          <c:idx val="6"/>
          <c:order val="2"/>
          <c:tx>
            <c:strRef>
              <c:f>'BEREGNING NØKKELTALL'!$I$89</c:f>
              <c:strCache>
                <c:ptCount val="1"/>
                <c:pt idx="0">
                  <c:v>Kommunedirektørens budsjettforslag 2027</c:v>
                </c:pt>
              </c:strCache>
            </c:strRef>
          </c:tx>
          <c:spPr>
            <a:ln w="28575" cap="rnd">
              <a:solidFill>
                <a:srgbClr val="177FA9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NØKKELTALL'!$H$90:$H$92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NØKKELTALL'!$I$90:$I$92</c:f>
              <c:numCache>
                <c:formatCode>0%</c:formatCode>
                <c:ptCount val="3"/>
                <c:pt idx="0">
                  <c:v>1.0060795144855281</c:v>
                </c:pt>
                <c:pt idx="1">
                  <c:v>1.0482766939261217</c:v>
                </c:pt>
                <c:pt idx="2">
                  <c:v>0.78329879808255642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04-4033-97E7-6CB8BFD5D3D8}"/>
            </c:ext>
          </c:extLst>
        </c:ser>
        <c:ser>
          <c:idx val="7"/>
          <c:order val="3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 w="28575" cap="rnd">
              <a:solidFill>
                <a:srgbClr val="4C9C2E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NØKKELTALL'!$H$90:$H$92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B04-4033-97E7-6CB8BFD5D3D8}"/>
            </c:ext>
          </c:extLst>
        </c:ser>
        <c:ser>
          <c:idx val="2"/>
          <c:order val="4"/>
          <c:tx>
            <c:strRef>
              <c:f>'BEREGNING NØKKELTALL'!$I$89</c:f>
              <c:strCache>
                <c:ptCount val="1"/>
                <c:pt idx="0">
                  <c:v>Kommunedirektørens budsjettforslag 2027</c:v>
                </c:pt>
              </c:strCache>
            </c:strRef>
          </c:tx>
          <c:spPr>
            <a:ln>
              <a:solidFill>
                <a:srgbClr val="177FA9"/>
              </a:solidFill>
            </a:ln>
          </c:spPr>
          <c:marker>
            <c:symbol val="none"/>
          </c:marker>
          <c:cat>
            <c:strRef>
              <c:f>'BEREGNING NØKKELTALL'!$H$90:$H$92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NØKKELTALL'!$I$90:$I$92</c:f>
              <c:numCache>
                <c:formatCode>0%</c:formatCode>
                <c:ptCount val="3"/>
                <c:pt idx="0">
                  <c:v>1.0060795144855281</c:v>
                </c:pt>
                <c:pt idx="1">
                  <c:v>1.0482766939261217</c:v>
                </c:pt>
                <c:pt idx="2">
                  <c:v>0.78329879808255642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04-4033-97E7-6CB8BFD5D3D8}"/>
            </c:ext>
          </c:extLst>
        </c:ser>
        <c:ser>
          <c:idx val="3"/>
          <c:order val="5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>
              <a:solidFill>
                <a:srgbClr val="4C9C2E"/>
              </a:solidFill>
            </a:ln>
          </c:spPr>
          <c:marker>
            <c:symbol val="none"/>
          </c:marker>
          <c:cat>
            <c:strRef>
              <c:f>'BEREGNING NØKKELTALL'!$H$90:$H$92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04-4033-97E7-6CB8BFD5D3D8}"/>
            </c:ext>
          </c:extLst>
        </c:ser>
        <c:ser>
          <c:idx val="0"/>
          <c:order val="6"/>
          <c:tx>
            <c:strRef>
              <c:f>'BEREGNING NØKKELTALL'!$I$89</c:f>
              <c:strCache>
                <c:ptCount val="1"/>
                <c:pt idx="0">
                  <c:v>Kommunedirektørens budsjettforslag 2027</c:v>
                </c:pt>
              </c:strCache>
            </c:strRef>
          </c:tx>
          <c:spPr>
            <a:ln w="28575" cap="rnd">
              <a:solidFill>
                <a:srgbClr val="177FA9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NØKKELTALL'!$H$90:$H$92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NØKKELTALL'!$I$90:$I$92</c:f>
              <c:numCache>
                <c:formatCode>0%</c:formatCode>
                <c:ptCount val="3"/>
                <c:pt idx="0">
                  <c:v>1.0060795144855281</c:v>
                </c:pt>
                <c:pt idx="1">
                  <c:v>1.0482766939261217</c:v>
                </c:pt>
                <c:pt idx="2">
                  <c:v>0.78329879808255642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B04-4033-97E7-6CB8BFD5D3D8}"/>
            </c:ext>
          </c:extLst>
        </c:ser>
        <c:ser>
          <c:idx val="1"/>
          <c:order val="7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 w="28575" cap="rnd">
              <a:solidFill>
                <a:srgbClr val="4C9C2E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NØKKELTALL'!$H$90:$H$92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B04-4033-97E7-6CB8BFD5D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423832"/>
        <c:axId val="993421864"/>
      </c:radarChart>
      <c:catAx>
        <c:axId val="993423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421864"/>
        <c:crosses val="autoZero"/>
        <c:auto val="1"/>
        <c:lblAlgn val="ctr"/>
        <c:lblOffset val="100"/>
        <c:noMultiLvlLbl val="0"/>
      </c:catAx>
      <c:valAx>
        <c:axId val="99342186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93423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tx1">
          <a:lumMod val="15000"/>
          <a:lumOff val="85000"/>
          <a:alpha val="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39931285972508E-2"/>
          <c:y val="8.3082873416174315E-3"/>
          <c:w val="0.93245173482798593"/>
          <c:h val="0.92178627578423145"/>
        </c:manualLayout>
      </c:layout>
      <c:radarChart>
        <c:radarStyle val="marker"/>
        <c:varyColors val="0"/>
        <c:ser>
          <c:idx val="3"/>
          <c:order val="0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>
              <a:solidFill>
                <a:srgbClr val="4C9C2E"/>
              </a:solidFill>
            </a:ln>
          </c:spPr>
          <c:marker>
            <c:symbol val="none"/>
          </c:marker>
          <c:cat>
            <c:strRef>
              <c:f>'BEREGNING NØKKELTALL'!$H$90:$H$92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34-4602-B3F6-68D22FA0C9A4}"/>
            </c:ext>
          </c:extLst>
        </c:ser>
        <c:ser>
          <c:idx val="0"/>
          <c:order val="1"/>
          <c:tx>
            <c:strRef>
              <c:f>'BEREGNING NØKKELTALL'!$K$89</c:f>
              <c:strCache>
                <c:ptCount val="1"/>
                <c:pt idx="0">
                  <c:v>Skriv inn gruppes budsjettforslag 2027</c:v>
                </c:pt>
              </c:strCache>
            </c:strRef>
          </c:tx>
          <c:spPr>
            <a:ln w="28575" cap="rnd">
              <a:solidFill>
                <a:srgbClr val="D7C724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NØKKELTALL'!$H$90:$H$92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NØKKELTALL'!$K$90:$K$92</c:f>
              <c:numCache>
                <c:formatCode>0%</c:formatCode>
                <c:ptCount val="3"/>
                <c:pt idx="0">
                  <c:v>1.0060795144855281</c:v>
                </c:pt>
                <c:pt idx="1">
                  <c:v>1.0482766939261217</c:v>
                </c:pt>
                <c:pt idx="2">
                  <c:v>0.78329879808255642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34-4602-B3F6-68D22FA0C9A4}"/>
            </c:ext>
          </c:extLst>
        </c:ser>
        <c:ser>
          <c:idx val="1"/>
          <c:order val="2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 w="28575" cap="rnd">
              <a:solidFill>
                <a:srgbClr val="4C9C2E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NØKKELTALL'!$H$90:$H$92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34-4602-B3F6-68D22FA0C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423832"/>
        <c:axId val="993421864"/>
      </c:radarChart>
      <c:catAx>
        <c:axId val="993423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421864"/>
        <c:crosses val="autoZero"/>
        <c:auto val="1"/>
        <c:lblAlgn val="ctr"/>
        <c:lblOffset val="100"/>
        <c:noMultiLvlLbl val="0"/>
      </c:catAx>
      <c:valAx>
        <c:axId val="99342186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93423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tx1">
          <a:lumMod val="15000"/>
          <a:lumOff val="85000"/>
          <a:alpha val="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39931285972508E-2"/>
          <c:y val="8.3082873416174315E-3"/>
          <c:w val="0.93245173482798593"/>
          <c:h val="0.92178627578423145"/>
        </c:manualLayout>
      </c:layout>
      <c:radarChart>
        <c:radarStyle val="marker"/>
        <c:varyColors val="0"/>
        <c:ser>
          <c:idx val="5"/>
          <c:order val="0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>
              <a:solidFill>
                <a:srgbClr val="4C9C2E"/>
              </a:solidFill>
            </a:ln>
          </c:spPr>
          <c:marker>
            <c:symbol val="none"/>
          </c:marker>
          <c:cat>
            <c:strRef>
              <c:f>'BEREGNING NØKKELTALL'!$H$95:$H$97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5-43B1-A258-915A08D2B8F0}"/>
            </c:ext>
          </c:extLst>
        </c:ser>
        <c:ser>
          <c:idx val="7"/>
          <c:order val="1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 w="28575" cap="rnd">
              <a:solidFill>
                <a:srgbClr val="4C9C2E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NØKKELTALL'!$H$95:$H$97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35-43B1-A258-915A08D2B8F0}"/>
            </c:ext>
          </c:extLst>
        </c:ser>
        <c:ser>
          <c:idx val="3"/>
          <c:order val="2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>
              <a:solidFill>
                <a:srgbClr val="4C9C2E"/>
              </a:solidFill>
            </a:ln>
          </c:spPr>
          <c:marker>
            <c:symbol val="none"/>
          </c:marker>
          <c:cat>
            <c:strRef>
              <c:f>'BEREGNING NØKKELTALL'!$H$95:$H$97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35-43B1-A258-915A08D2B8F0}"/>
            </c:ext>
          </c:extLst>
        </c:ser>
        <c:ser>
          <c:idx val="0"/>
          <c:order val="3"/>
          <c:tx>
            <c:strRef>
              <c:f>'BEREGNING NØKKELTALL'!$I$94</c:f>
              <c:strCache>
                <c:ptCount val="1"/>
                <c:pt idx="0">
                  <c:v>Kommunedirektørens budsjettforslag 2028</c:v>
                </c:pt>
              </c:strCache>
            </c:strRef>
          </c:tx>
          <c:spPr>
            <a:ln w="28575" cap="rnd">
              <a:solidFill>
                <a:srgbClr val="177FA9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NØKKELTALL'!$H$95:$H$97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NØKKELTALL'!$I$95:$I$97</c:f>
              <c:numCache>
                <c:formatCode>0%</c:formatCode>
                <c:ptCount val="3"/>
                <c:pt idx="0">
                  <c:v>1.0806406695719586</c:v>
                </c:pt>
                <c:pt idx="1">
                  <c:v>1.1143609570235893</c:v>
                </c:pt>
                <c:pt idx="2">
                  <c:v>0.91535514560329967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35-43B1-A258-915A08D2B8F0}"/>
            </c:ext>
          </c:extLst>
        </c:ser>
        <c:ser>
          <c:idx val="1"/>
          <c:order val="4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 w="28575" cap="rnd">
              <a:solidFill>
                <a:srgbClr val="4C9C2E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NØKKELTALL'!$H$95:$H$97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35-43B1-A258-915A08D2B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423832"/>
        <c:axId val="993421864"/>
      </c:radarChart>
      <c:catAx>
        <c:axId val="993423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421864"/>
        <c:crosses val="autoZero"/>
        <c:auto val="1"/>
        <c:lblAlgn val="ctr"/>
        <c:lblOffset val="100"/>
        <c:noMultiLvlLbl val="0"/>
      </c:catAx>
      <c:valAx>
        <c:axId val="99342186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93423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tx1">
          <a:lumMod val="15000"/>
          <a:lumOff val="85000"/>
          <a:alpha val="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39931285972508E-2"/>
          <c:y val="8.3082873416174315E-3"/>
          <c:w val="0.93245173482798593"/>
          <c:h val="0.92178627578423145"/>
        </c:manualLayout>
      </c:layout>
      <c:radarChart>
        <c:radarStyle val="marker"/>
        <c:varyColors val="0"/>
        <c:ser>
          <c:idx val="3"/>
          <c:order val="0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>
              <a:solidFill>
                <a:srgbClr val="4C9C2E"/>
              </a:solidFill>
            </a:ln>
          </c:spPr>
          <c:marker>
            <c:symbol val="none"/>
          </c:marker>
          <c:cat>
            <c:strRef>
              <c:f>'BEREGNING NØKKELTALL'!$H$95:$H$97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6-41A7-A0BD-514B563C902F}"/>
            </c:ext>
          </c:extLst>
        </c:ser>
        <c:ser>
          <c:idx val="0"/>
          <c:order val="1"/>
          <c:tx>
            <c:strRef>
              <c:f>'BEREGNING NØKKELTALL'!$K$94</c:f>
              <c:strCache>
                <c:ptCount val="1"/>
                <c:pt idx="0">
                  <c:v>Skriv inn gruppes budsjettforslag 2028</c:v>
                </c:pt>
              </c:strCache>
            </c:strRef>
          </c:tx>
          <c:spPr>
            <a:ln w="28575" cap="rnd">
              <a:solidFill>
                <a:srgbClr val="D7C724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NØKKELTALL'!$H$95:$H$97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NØKKELTALL'!$K$95:$K$97</c:f>
              <c:numCache>
                <c:formatCode>0%</c:formatCode>
                <c:ptCount val="3"/>
                <c:pt idx="0">
                  <c:v>1.0806406695719586</c:v>
                </c:pt>
                <c:pt idx="1">
                  <c:v>1.1143609570235893</c:v>
                </c:pt>
                <c:pt idx="2">
                  <c:v>0.91535514560329967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76-41A7-A0BD-514B563C902F}"/>
            </c:ext>
          </c:extLst>
        </c:ser>
        <c:ser>
          <c:idx val="1"/>
          <c:order val="2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 w="28575" cap="rnd">
              <a:solidFill>
                <a:srgbClr val="4C9C2E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NØKKELTALL'!$H$95:$H$97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76-41A7-A0BD-514B563C9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423832"/>
        <c:axId val="993421864"/>
      </c:radarChart>
      <c:catAx>
        <c:axId val="993423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421864"/>
        <c:crosses val="autoZero"/>
        <c:auto val="1"/>
        <c:lblAlgn val="ctr"/>
        <c:lblOffset val="100"/>
        <c:noMultiLvlLbl val="0"/>
      </c:catAx>
      <c:valAx>
        <c:axId val="99342186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93423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tx1">
          <a:lumMod val="15000"/>
          <a:lumOff val="85000"/>
          <a:alpha val="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39931285972508E-2"/>
          <c:y val="8.3082873416174315E-3"/>
          <c:w val="0.93245173482798593"/>
          <c:h val="0.92178627578423145"/>
        </c:manualLayout>
      </c:layout>
      <c:radarChart>
        <c:radarStyle val="marker"/>
        <c:varyColors val="0"/>
        <c:ser>
          <c:idx val="5"/>
          <c:order val="0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>
              <a:solidFill>
                <a:srgbClr val="4C9C2E"/>
              </a:solidFill>
            </a:ln>
          </c:spPr>
          <c:marker>
            <c:symbol val="none"/>
          </c:marker>
          <c:cat>
            <c:strRef>
              <c:f>'BEREGNING NØKKELTALL'!$H$100:$H$102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AE-4375-B36F-0825C8FB6EC5}"/>
            </c:ext>
          </c:extLst>
        </c:ser>
        <c:ser>
          <c:idx val="7"/>
          <c:order val="1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 w="28575" cap="rnd">
              <a:solidFill>
                <a:srgbClr val="4C9C2E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NØKKELTALL'!$H$100:$H$102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AE-4375-B36F-0825C8FB6EC5}"/>
            </c:ext>
          </c:extLst>
        </c:ser>
        <c:ser>
          <c:idx val="3"/>
          <c:order val="2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>
              <a:solidFill>
                <a:srgbClr val="4C9C2E"/>
              </a:solidFill>
            </a:ln>
          </c:spPr>
          <c:marker>
            <c:symbol val="none"/>
          </c:marker>
          <c:cat>
            <c:strRef>
              <c:f>'BEREGNING NØKKELTALL'!$H$100:$H$102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AE-4375-B36F-0825C8FB6EC5}"/>
            </c:ext>
          </c:extLst>
        </c:ser>
        <c:ser>
          <c:idx val="0"/>
          <c:order val="3"/>
          <c:tx>
            <c:strRef>
              <c:f>'BEREGNING NØKKELTALL'!$I$99</c:f>
              <c:strCache>
                <c:ptCount val="1"/>
                <c:pt idx="0">
                  <c:v>Kommunedirektørens budsjettforslag 2029</c:v>
                </c:pt>
              </c:strCache>
            </c:strRef>
          </c:tx>
          <c:spPr>
            <a:ln w="28575" cap="rnd">
              <a:solidFill>
                <a:srgbClr val="177FA9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NØKKELTALL'!$H$100:$H$102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NØKKELTALL'!$I$100:$I$102</c:f>
              <c:numCache>
                <c:formatCode>0%</c:formatCode>
                <c:ptCount val="3"/>
                <c:pt idx="0">
                  <c:v>1.1276492974458441</c:v>
                </c:pt>
                <c:pt idx="1">
                  <c:v>1.1177123850639801</c:v>
                </c:pt>
                <c:pt idx="2">
                  <c:v>1.0471559569722142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AE-4375-B36F-0825C8FB6EC5}"/>
            </c:ext>
          </c:extLst>
        </c:ser>
        <c:ser>
          <c:idx val="1"/>
          <c:order val="4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 w="28575" cap="rnd">
              <a:solidFill>
                <a:srgbClr val="4C9C2E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NØKKELTALL'!$H$100:$H$102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AE-4375-B36F-0825C8FB6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423832"/>
        <c:axId val="993421864"/>
      </c:radarChart>
      <c:catAx>
        <c:axId val="993423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421864"/>
        <c:crosses val="autoZero"/>
        <c:auto val="1"/>
        <c:lblAlgn val="ctr"/>
        <c:lblOffset val="100"/>
        <c:noMultiLvlLbl val="0"/>
      </c:catAx>
      <c:valAx>
        <c:axId val="99342186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93423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tx1">
          <a:lumMod val="15000"/>
          <a:lumOff val="85000"/>
          <a:alpha val="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39931285972508E-2"/>
          <c:y val="8.3082873416174315E-3"/>
          <c:w val="0.93245173482798593"/>
          <c:h val="0.92178627578423145"/>
        </c:manualLayout>
      </c:layout>
      <c:radarChart>
        <c:radarStyle val="marker"/>
        <c:varyColors val="0"/>
        <c:ser>
          <c:idx val="3"/>
          <c:order val="0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>
              <a:solidFill>
                <a:srgbClr val="4C9C2E"/>
              </a:solidFill>
            </a:ln>
          </c:spPr>
          <c:marker>
            <c:symbol val="none"/>
          </c:marker>
          <c:cat>
            <c:strRef>
              <c:f>'BEREGNING NØKKELTALL'!$H$100:$H$102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D-4667-B970-4D99B479A679}"/>
            </c:ext>
          </c:extLst>
        </c:ser>
        <c:ser>
          <c:idx val="0"/>
          <c:order val="1"/>
          <c:tx>
            <c:strRef>
              <c:f>'BEREGNING NØKKELTALL'!$K$99</c:f>
              <c:strCache>
                <c:ptCount val="1"/>
                <c:pt idx="0">
                  <c:v>Skriv inn gruppes budsjettforslag 2029</c:v>
                </c:pt>
              </c:strCache>
            </c:strRef>
          </c:tx>
          <c:spPr>
            <a:ln w="28575" cap="rnd">
              <a:solidFill>
                <a:srgbClr val="D7C724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NØKKELTALL'!$H$100:$H$102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NØKKELTALL'!$K$100:$K$102</c:f>
              <c:numCache>
                <c:formatCode>0%</c:formatCode>
                <c:ptCount val="3"/>
                <c:pt idx="0">
                  <c:v>1.1276492974458441</c:v>
                </c:pt>
                <c:pt idx="1">
                  <c:v>1.1177123850639801</c:v>
                </c:pt>
                <c:pt idx="2">
                  <c:v>1.0471559569722142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0D-4667-B970-4D99B479A679}"/>
            </c:ext>
          </c:extLst>
        </c:ser>
        <c:ser>
          <c:idx val="1"/>
          <c:order val="2"/>
          <c:tx>
            <c:strRef>
              <c:f>'BEREGNING NØKKELTALL'!$J$84</c:f>
              <c:strCache>
                <c:ptCount val="1"/>
                <c:pt idx="0">
                  <c:v>Finansielt måltall ihht økonomireglmenentet</c:v>
                </c:pt>
              </c:strCache>
            </c:strRef>
          </c:tx>
          <c:spPr>
            <a:ln w="28575" cap="rnd">
              <a:solidFill>
                <a:srgbClr val="4C9C2E"/>
              </a:solidFill>
              <a:round/>
            </a:ln>
            <a:effectLst/>
          </c:spPr>
          <c:marker>
            <c:symbol val="none"/>
          </c:marker>
          <c:cat>
            <c:strRef>
              <c:f>'BEREGNING NØKKELTALL'!$H$100:$H$102</c:f>
              <c:strCache>
                <c:ptCount val="3"/>
                <c:pt idx="0">
                  <c:v>Netto driftsresultat i prosent av driftsinntektene</c:v>
                </c:pt>
                <c:pt idx="1">
                  <c:v>Netto renteeksponert gjeld i prosent av driftsinntektene</c:v>
                </c:pt>
                <c:pt idx="2">
                  <c:v>Dispsisjonsfond i prosent av driftsinntektene</c:v>
                </c:pt>
              </c:strCache>
            </c:strRef>
          </c:cat>
          <c:val>
            <c:numRef>
              <c:f>'BEREGNING NØKKELTALL'!$J$85:$J$87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0D-4667-B970-4D99B479A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423832"/>
        <c:axId val="993421864"/>
      </c:radarChart>
      <c:catAx>
        <c:axId val="993423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421864"/>
        <c:crosses val="autoZero"/>
        <c:auto val="1"/>
        <c:lblAlgn val="ctr"/>
        <c:lblOffset val="100"/>
        <c:noMultiLvlLbl val="0"/>
      </c:catAx>
      <c:valAx>
        <c:axId val="99342186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93423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tx1">
          <a:lumMod val="15000"/>
          <a:lumOff val="85000"/>
          <a:alpha val="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Egenfinansiering</a:t>
            </a:r>
            <a:r>
              <a:rPr lang="nb-NO" baseline="0"/>
              <a:t> av investering</a:t>
            </a:r>
            <a:endParaRPr lang="nb-NO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1"/>
          <c:order val="0"/>
          <c:tx>
            <c:strRef>
              <c:f>'BEREGNING NØKKELTALL'!$P$85</c:f>
              <c:strCache>
                <c:ptCount val="1"/>
                <c:pt idx="0">
                  <c:v> Skriv inn gruppe </c:v>
                </c:pt>
              </c:strCache>
            </c:strRef>
          </c:tx>
          <c:dPt>
            <c:idx val="0"/>
            <c:bubble3D val="0"/>
            <c:spPr>
              <a:solidFill>
                <a:srgbClr val="EAE07E"/>
              </a:solidFill>
            </c:spPr>
            <c:extLst>
              <c:ext xmlns:c16="http://schemas.microsoft.com/office/drawing/2014/chart" uri="{C3380CC4-5D6E-409C-BE32-E72D297353CC}">
                <c16:uniqueId val="{0000000B-8482-47B2-8B6C-18CD996ECADA}"/>
              </c:ext>
            </c:extLst>
          </c:dPt>
          <c:dPt>
            <c:idx val="1"/>
            <c:bubble3D val="0"/>
            <c:spPr>
              <a:solidFill>
                <a:srgbClr val="D7C724"/>
              </a:solidFill>
            </c:spPr>
            <c:extLst>
              <c:ext xmlns:c16="http://schemas.microsoft.com/office/drawing/2014/chart" uri="{C3380CC4-5D6E-409C-BE32-E72D297353CC}">
                <c16:uniqueId val="{0000000A-8482-47B2-8B6C-18CD996ECADA}"/>
              </c:ext>
            </c:extLst>
          </c:dPt>
          <c:dLbls>
            <c:dLbl>
              <c:idx val="0"/>
              <c:layout>
                <c:manualLayout>
                  <c:x val="-9.0277777777777721E-2"/>
                  <c:y val="0.10185185664267099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66666666666664"/>
                      <c:h val="0.21035706875685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482-47B2-8B6C-18CD996ECADA}"/>
                </c:ext>
              </c:extLst>
            </c:dLbl>
            <c:dLbl>
              <c:idx val="1"/>
              <c:layout>
                <c:manualLayout>
                  <c:x val="0.10138888888888889"/>
                  <c:y val="-0.15113501308267319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856933508311463"/>
                      <c:h val="0.130156945510162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8482-47B2-8B6C-18CD996ECA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'BEREGNING NØKKELTALL'!$N$86:$N$87</c:f>
              <c:strCache>
                <c:ptCount val="2"/>
                <c:pt idx="0">
                  <c:v> Egenfinansiering av investeringer </c:v>
                </c:pt>
                <c:pt idx="1">
                  <c:v> Lånefinansiering </c:v>
                </c:pt>
              </c:strCache>
            </c:strRef>
          </c:cat>
          <c:val>
            <c:numRef>
              <c:f>'BEREGNING NØKKELTALL'!$P$86:$P$87</c:f>
              <c:numCache>
                <c:formatCode>0%</c:formatCode>
                <c:ptCount val="2"/>
                <c:pt idx="0">
                  <c:v>0.39823382323461454</c:v>
                </c:pt>
                <c:pt idx="1">
                  <c:v>0.60176617676538546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82-47B2-8B6C-18CD996ECADA}"/>
            </c:ext>
          </c:extLst>
        </c:ser>
        <c:ser>
          <c:idx val="0"/>
          <c:order val="1"/>
          <c:tx>
            <c:strRef>
              <c:f>'BEREGNING NØKKELTALL'!$O$85</c:f>
              <c:strCache>
                <c:ptCount val="1"/>
                <c:pt idx="0">
                  <c:v> Kommunedirektøren </c:v>
                </c:pt>
              </c:strCache>
            </c:strRef>
          </c:tx>
          <c:dPt>
            <c:idx val="0"/>
            <c:bubble3D val="0"/>
            <c:spPr>
              <a:solidFill>
                <a:srgbClr val="26ACE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482-47B2-8B6C-18CD996ECADA}"/>
              </c:ext>
            </c:extLst>
          </c:dPt>
          <c:dPt>
            <c:idx val="1"/>
            <c:bubble3D val="0"/>
            <c:spPr>
              <a:solidFill>
                <a:srgbClr val="177F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482-47B2-8B6C-18CD996ECADA}"/>
              </c:ext>
            </c:extLst>
          </c:dPt>
          <c:dLbls>
            <c:dLbl>
              <c:idx val="0"/>
              <c:layout>
                <c:manualLayout>
                  <c:x val="7.6617235345581819E-2"/>
                  <c:y val="-0.36320185811728511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97069116360456"/>
                      <c:h val="0.22640682068536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482-47B2-8B6C-18CD996ECADA}"/>
                </c:ext>
              </c:extLst>
            </c:dLbl>
            <c:dLbl>
              <c:idx val="1"/>
              <c:layout>
                <c:manualLayout>
                  <c:x val="-5.2777777777777778E-2"/>
                  <c:y val="0.34378739893072352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34711286089237"/>
                      <c:h val="0.19031525180459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482-47B2-8B6C-18CD996ECA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'BEREGNING NØKKELTALL'!$N$86:$N$87</c:f>
              <c:strCache>
                <c:ptCount val="2"/>
                <c:pt idx="0">
                  <c:v> Egenfinansiering av investeringer </c:v>
                </c:pt>
                <c:pt idx="1">
                  <c:v> Lånefinansiering </c:v>
                </c:pt>
              </c:strCache>
            </c:strRef>
          </c:cat>
          <c:val>
            <c:numRef>
              <c:f>'BEREGNING NØKKELTALL'!$O$86:$O$87</c:f>
              <c:numCache>
                <c:formatCode>0%</c:formatCode>
                <c:ptCount val="2"/>
                <c:pt idx="0">
                  <c:v>0.39823382323461454</c:v>
                </c:pt>
                <c:pt idx="1">
                  <c:v>0.60176617676538546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82-47B2-8B6C-18CD996ECA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1732</xdr:rowOff>
    </xdr:from>
    <xdr:to>
      <xdr:col>3</xdr:col>
      <xdr:colOff>511968</xdr:colOff>
      <xdr:row>56</xdr:row>
      <xdr:rowOff>116034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00E9FC-792D-039D-9277-8F212817E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213230</xdr:colOff>
      <xdr:row>9</xdr:row>
      <xdr:rowOff>196994</xdr:rowOff>
    </xdr:from>
    <xdr:to>
      <xdr:col>8</xdr:col>
      <xdr:colOff>665667</xdr:colOff>
      <xdr:row>55</xdr:row>
      <xdr:rowOff>103477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B5916B9C-16EF-4159-95B3-C30D65A49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62</xdr:row>
      <xdr:rowOff>51955</xdr:rowOff>
    </xdr:from>
    <xdr:to>
      <xdr:col>3</xdr:col>
      <xdr:colOff>511968</xdr:colOff>
      <xdr:row>108</xdr:row>
      <xdr:rowOff>105643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EC6FA5D9-59FA-4377-AD7A-FC1B17470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424294</xdr:colOff>
      <xdr:row>62</xdr:row>
      <xdr:rowOff>25978</xdr:rowOff>
    </xdr:from>
    <xdr:to>
      <xdr:col>8</xdr:col>
      <xdr:colOff>884308</xdr:colOff>
      <xdr:row>108</xdr:row>
      <xdr:rowOff>79666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CE9B06D6-44C8-40D5-BB9A-6383BDC63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10583</xdr:colOff>
      <xdr:row>114</xdr:row>
      <xdr:rowOff>62537</xdr:rowOff>
    </xdr:from>
    <xdr:to>
      <xdr:col>3</xdr:col>
      <xdr:colOff>522551</xdr:colOff>
      <xdr:row>161</xdr:row>
      <xdr:rowOff>55612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140F734-1FDE-43E3-9273-DF48F9499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424294</xdr:colOff>
      <xdr:row>114</xdr:row>
      <xdr:rowOff>25977</xdr:rowOff>
    </xdr:from>
    <xdr:to>
      <xdr:col>8</xdr:col>
      <xdr:colOff>884308</xdr:colOff>
      <xdr:row>161</xdr:row>
      <xdr:rowOff>19052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E682E9E-341B-401C-8625-9BA5629ED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165</xdr:row>
      <xdr:rowOff>79855</xdr:rowOff>
    </xdr:from>
    <xdr:to>
      <xdr:col>3</xdr:col>
      <xdr:colOff>511968</xdr:colOff>
      <xdr:row>213</xdr:row>
      <xdr:rowOff>12316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8B3D4C9-E543-41C9-B9A5-4C6BD95B1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424294</xdr:colOff>
      <xdr:row>165</xdr:row>
      <xdr:rowOff>43295</xdr:rowOff>
    </xdr:from>
    <xdr:to>
      <xdr:col>8</xdr:col>
      <xdr:colOff>884308</xdr:colOff>
      <xdr:row>212</xdr:row>
      <xdr:rowOff>183574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E3F5B2F3-AD27-4B3D-8B62-8C0786B3C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151534</xdr:colOff>
      <xdr:row>10</xdr:row>
      <xdr:rowOff>25977</xdr:rowOff>
    </xdr:from>
    <xdr:to>
      <xdr:col>13</xdr:col>
      <xdr:colOff>497897</xdr:colOff>
      <xdr:row>48</xdr:row>
      <xdr:rowOff>150668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AFC266AA-334D-36B2-479C-AA68143EA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320388</xdr:colOff>
      <xdr:row>61</xdr:row>
      <xdr:rowOff>155864</xdr:rowOff>
    </xdr:from>
    <xdr:to>
      <xdr:col>13</xdr:col>
      <xdr:colOff>666751</xdr:colOff>
      <xdr:row>100</xdr:row>
      <xdr:rowOff>72737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FDDD26BB-B9EA-41BF-B389-7864526F5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320387</xdr:colOff>
      <xdr:row>116</xdr:row>
      <xdr:rowOff>43295</xdr:rowOff>
    </xdr:from>
    <xdr:to>
      <xdr:col>13</xdr:col>
      <xdr:colOff>666750</xdr:colOff>
      <xdr:row>154</xdr:row>
      <xdr:rowOff>167986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B96CC0A3-B457-458E-A938-017220900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389660</xdr:colOff>
      <xdr:row>166</xdr:row>
      <xdr:rowOff>60613</xdr:rowOff>
    </xdr:from>
    <xdr:to>
      <xdr:col>13</xdr:col>
      <xdr:colOff>736023</xdr:colOff>
      <xdr:row>204</xdr:row>
      <xdr:rowOff>185304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ECC647C1-F708-43C7-9FD4-6FE538E13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E88F9-0E96-48B8-BD73-BB8A985E113D}">
  <sheetPr>
    <tabColor rgb="FFD7C724"/>
    <pageSetUpPr fitToPage="1"/>
  </sheetPr>
  <dimension ref="A1:N209"/>
  <sheetViews>
    <sheetView showGridLines="0" tabSelected="1" zoomScale="90" zoomScaleNormal="90" workbookViewId="0">
      <selection activeCell="F4" sqref="F4"/>
    </sheetView>
  </sheetViews>
  <sheetFormatPr baseColWidth="10" defaultColWidth="11.42578125" defaultRowHeight="16.5" x14ac:dyDescent="0.3"/>
  <cols>
    <col min="1" max="1" width="46.7109375" style="2" customWidth="1"/>
    <col min="2" max="17" width="15.85546875" style="2" customWidth="1"/>
    <col min="18" max="16384" width="11.42578125" style="2"/>
  </cols>
  <sheetData>
    <row r="1" spans="1:14" ht="31.5" x14ac:dyDescent="0.6">
      <c r="A1" s="70" t="s">
        <v>176</v>
      </c>
    </row>
    <row r="2" spans="1:14" ht="18.75" x14ac:dyDescent="0.3">
      <c r="A2" s="47" t="s">
        <v>0</v>
      </c>
      <c r="B2" s="103" t="s">
        <v>293</v>
      </c>
      <c r="C2" s="104"/>
      <c r="D2" s="104"/>
      <c r="E2" s="104"/>
      <c r="F2" s="104"/>
      <c r="G2" s="104"/>
      <c r="H2" s="105"/>
    </row>
    <row r="3" spans="1:14" ht="15" customHeight="1" x14ac:dyDescent="0.3"/>
    <row r="4" spans="1:14" ht="27.75" x14ac:dyDescent="0.45">
      <c r="A4" s="71">
        <v>2026</v>
      </c>
    </row>
    <row r="5" spans="1:14" x14ac:dyDescent="0.3">
      <c r="A5" s="68" t="str">
        <f>'BEREGNING NØKKELTALL'!$I$84</f>
        <v>Kommunedirektørens budsjettforslag 2026</v>
      </c>
      <c r="K5" s="3"/>
      <c r="L5" s="3"/>
      <c r="M5" s="3"/>
      <c r="N5" s="3"/>
    </row>
    <row r="6" spans="1:14" x14ac:dyDescent="0.3">
      <c r="A6" s="67" t="str">
        <f>'BEREGNING NØKKELTALL'!$K$84</f>
        <v>Skriv inn gruppes budsjettforslag 2026</v>
      </c>
      <c r="K6" s="4"/>
      <c r="L6" s="4"/>
      <c r="M6" s="4"/>
      <c r="N6" s="4"/>
    </row>
    <row r="7" spans="1:14" x14ac:dyDescent="0.3">
      <c r="A7" s="66" t="str">
        <f>'BEREGNING NØKKELTALL'!$J$84</f>
        <v>Finansielt måltall ihht økonomireglmenentet</v>
      </c>
    </row>
    <row r="8" spans="1:14" x14ac:dyDescent="0.3">
      <c r="K8" s="3"/>
      <c r="L8" s="3"/>
      <c r="M8" s="3"/>
      <c r="N8" s="3"/>
    </row>
    <row r="9" spans="1:14" x14ac:dyDescent="0.3">
      <c r="A9" s="100" t="str">
        <f>A5</f>
        <v>Kommunedirektørens budsjettforslag 2026</v>
      </c>
      <c r="B9" s="100"/>
      <c r="C9" s="100"/>
      <c r="E9" s="101" t="str">
        <f>$A$6</f>
        <v>Skriv inn gruppes budsjettforslag 2026</v>
      </c>
      <c r="F9" s="101"/>
      <c r="G9" s="101"/>
      <c r="K9" s="3"/>
      <c r="L9" s="3"/>
      <c r="M9" s="3"/>
      <c r="N9" s="3"/>
    </row>
    <row r="10" spans="1:14" x14ac:dyDescent="0.3">
      <c r="A10" s="100"/>
      <c r="B10" s="100"/>
      <c r="C10" s="100"/>
      <c r="E10" s="101"/>
      <c r="F10" s="101"/>
      <c r="G10" s="101"/>
      <c r="K10" s="3"/>
      <c r="L10" s="3"/>
      <c r="M10" s="3"/>
      <c r="N10" s="3"/>
    </row>
    <row r="11" spans="1:14" ht="16.5" customHeight="1" x14ac:dyDescent="0.3">
      <c r="B11" s="102" t="str">
        <f>'BEREGNING NØKKELTALL'!$C$100</f>
        <v>Netto driftsresultat i prosent av driftsinntektene</v>
      </c>
      <c r="C11" s="102"/>
      <c r="F11" s="102" t="str">
        <f>$B$11</f>
        <v>Netto driftsresultat i prosent av driftsinntektene</v>
      </c>
      <c r="G11" s="102"/>
    </row>
    <row r="12" spans="1:14" x14ac:dyDescent="0.3">
      <c r="B12" s="102"/>
      <c r="C12" s="102"/>
      <c r="F12" s="102"/>
      <c r="G12" s="102"/>
    </row>
    <row r="13" spans="1:14" x14ac:dyDescent="0.3">
      <c r="B13" s="92">
        <f>'BEREGNING NØKKELTALL'!$D$85</f>
        <v>2.7035068849592048E-2</v>
      </c>
      <c r="C13" s="74"/>
      <c r="D13" s="27"/>
      <c r="E13" s="27"/>
      <c r="F13" s="93">
        <f>'BEREGNING NØKKELTALL'!$E$85</f>
        <v>2.7035068849592048E-2</v>
      </c>
      <c r="G13" s="73"/>
    </row>
    <row r="14" spans="1:14" x14ac:dyDescent="0.3">
      <c r="B14" s="76">
        <f>'BEREGNING NØKKELTALL'!$F$90</f>
        <v>0.02</v>
      </c>
      <c r="C14" s="27"/>
      <c r="D14" s="27"/>
      <c r="E14" s="27"/>
      <c r="F14" s="76">
        <f>$B$14</f>
        <v>0.02</v>
      </c>
    </row>
    <row r="15" spans="1:14" hidden="1" x14ac:dyDescent="0.3"/>
    <row r="16" spans="1:14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spans="1:14" hidden="1" x14ac:dyDescent="0.3"/>
    <row r="34" spans="1:14" hidden="1" x14ac:dyDescent="0.3">
      <c r="B34" s="4"/>
      <c r="C34" s="4"/>
      <c r="D34" s="4"/>
      <c r="E34" s="4"/>
      <c r="F34" s="4"/>
    </row>
    <row r="35" spans="1:14" x14ac:dyDescent="0.3">
      <c r="A35" s="4"/>
      <c r="B35" s="4"/>
      <c r="C35" s="4"/>
      <c r="D35" s="4"/>
      <c r="E35" s="4"/>
      <c r="F35" s="4"/>
    </row>
    <row r="36" spans="1:14" x14ac:dyDescent="0.3">
      <c r="B36" s="28"/>
      <c r="C36" s="28"/>
      <c r="D36" s="28"/>
      <c r="E36" s="28"/>
      <c r="F36" s="28"/>
      <c r="G36" s="29"/>
    </row>
    <row r="39" spans="1:14" x14ac:dyDescent="0.3">
      <c r="B39" s="3"/>
      <c r="C39" s="3"/>
      <c r="D39" s="3"/>
      <c r="E39" s="3"/>
      <c r="F39" s="3"/>
    </row>
    <row r="40" spans="1:14" x14ac:dyDescent="0.3">
      <c r="B40" s="3"/>
      <c r="C40" s="3"/>
      <c r="D40" s="3"/>
      <c r="E40" s="3"/>
      <c r="F40" s="3"/>
      <c r="K40" s="3"/>
      <c r="L40" s="3"/>
      <c r="M40" s="3"/>
      <c r="N40" s="3"/>
    </row>
    <row r="41" spans="1:14" x14ac:dyDescent="0.3">
      <c r="B41" s="4"/>
      <c r="C41" s="4"/>
      <c r="D41" s="4"/>
      <c r="E41" s="4"/>
      <c r="F41" s="4"/>
      <c r="K41" s="3"/>
      <c r="L41" s="3"/>
      <c r="M41" s="3"/>
      <c r="N41" s="3"/>
    </row>
    <row r="42" spans="1:14" x14ac:dyDescent="0.3">
      <c r="B42" s="15"/>
      <c r="C42" s="15"/>
      <c r="D42" s="15"/>
      <c r="E42" s="15"/>
      <c r="F42" s="15"/>
      <c r="K42" s="4"/>
      <c r="L42" s="4"/>
      <c r="M42" s="4"/>
      <c r="N42" s="4"/>
    </row>
    <row r="43" spans="1:14" x14ac:dyDescent="0.3">
      <c r="K43" s="15"/>
      <c r="L43" s="15"/>
      <c r="M43" s="15"/>
      <c r="N43" s="15"/>
    </row>
    <row r="46" spans="1:14" x14ac:dyDescent="0.3">
      <c r="B46" s="28"/>
      <c r="C46" s="28"/>
      <c r="D46" s="28"/>
      <c r="E46" s="28"/>
      <c r="F46" s="28"/>
    </row>
    <row r="47" spans="1:14" x14ac:dyDescent="0.3">
      <c r="B47" s="28"/>
      <c r="C47" s="28"/>
      <c r="D47" s="28"/>
      <c r="E47" s="28"/>
      <c r="F47" s="28"/>
      <c r="K47" s="28"/>
      <c r="L47" s="28"/>
      <c r="M47" s="28"/>
      <c r="N47" s="28"/>
    </row>
    <row r="48" spans="1:14" x14ac:dyDescent="0.3">
      <c r="B48" s="28"/>
      <c r="C48" s="28"/>
      <c r="D48" s="28"/>
      <c r="E48" s="28"/>
      <c r="F48" s="28"/>
      <c r="K48" s="28"/>
      <c r="L48" s="28"/>
      <c r="M48" s="28"/>
      <c r="N48" s="28"/>
    </row>
    <row r="49" spans="1:14" x14ac:dyDescent="0.3">
      <c r="B49" s="28"/>
      <c r="C49" s="28"/>
      <c r="D49" s="28"/>
      <c r="E49" s="28"/>
      <c r="F49" s="28"/>
      <c r="K49" s="28"/>
      <c r="L49" s="28"/>
      <c r="M49" s="28"/>
      <c r="N49" s="28"/>
    </row>
    <row r="50" spans="1:14" ht="16.5" customHeight="1" x14ac:dyDescent="0.3">
      <c r="A50" s="96" t="str">
        <f>'BEREGNING NØKKELTALL'!$C$102</f>
        <v>Dispsisjonsfond i prosent av driftsinntektene</v>
      </c>
      <c r="B50" s="97" t="str">
        <f>'BEREGNING NØKKELTALL'!$C$101</f>
        <v>Netto renteeksponert gjeld i prosent av driftsinntektene</v>
      </c>
      <c r="C50" s="97"/>
      <c r="E50" s="98" t="str">
        <f>$A$50</f>
        <v>Dispsisjonsfond i prosent av driftsinntektene</v>
      </c>
      <c r="F50" s="98"/>
      <c r="H50" s="99" t="str">
        <f>$B$50</f>
        <v>Netto renteeksponert gjeld i prosent av driftsinntektene</v>
      </c>
      <c r="I50" s="99"/>
      <c r="J50" s="72"/>
    </row>
    <row r="51" spans="1:14" x14ac:dyDescent="0.3">
      <c r="A51" s="96"/>
      <c r="B51" s="97"/>
      <c r="C51" s="97"/>
      <c r="E51" s="98"/>
      <c r="F51" s="98"/>
      <c r="H51" s="99"/>
      <c r="I51" s="99"/>
    </row>
    <row r="52" spans="1:14" x14ac:dyDescent="0.3">
      <c r="A52" s="77">
        <f>'BEREGNING NØKKELTALL'!$D$87</f>
        <v>6.4986029692501432E-2</v>
      </c>
      <c r="B52" s="78"/>
      <c r="C52" s="79">
        <f>'BEREGNING NØKKELTALL'!$D$86</f>
        <v>0.75668513940325044</v>
      </c>
      <c r="D52" s="27"/>
      <c r="E52" s="80">
        <f>'BEREGNING NØKKELTALL'!$E$87</f>
        <v>6.4986029692501432E-2</v>
      </c>
      <c r="F52" s="78"/>
      <c r="G52" s="27"/>
      <c r="H52" s="75">
        <f>'BEREGNING NØKKELTALL'!$E$86</f>
        <v>0.75668513940325044</v>
      </c>
    </row>
    <row r="53" spans="1:14" x14ac:dyDescent="0.3">
      <c r="A53" s="81">
        <f>'BEREGNING NØKKELTALL'!$F$102</f>
        <v>0.1</v>
      </c>
      <c r="B53" s="27"/>
      <c r="C53" s="82">
        <f>'BEREGNING NØKKELTALL'!$F$101</f>
        <v>0.75</v>
      </c>
      <c r="D53" s="27"/>
      <c r="E53" s="81">
        <f>$A$53</f>
        <v>0.1</v>
      </c>
      <c r="F53" s="27"/>
      <c r="G53" s="27"/>
      <c r="H53" s="76">
        <f>$C$53</f>
        <v>0.75</v>
      </c>
    </row>
    <row r="56" spans="1:14" ht="27.75" x14ac:dyDescent="0.45">
      <c r="A56" s="71">
        <v>2027</v>
      </c>
    </row>
    <row r="57" spans="1:14" x14ac:dyDescent="0.3">
      <c r="A57" s="68" t="str">
        <f>'BEREGNING NØKKELTALL'!$I$89</f>
        <v>Kommunedirektørens budsjettforslag 2027</v>
      </c>
      <c r="K57" s="3"/>
      <c r="L57" s="3"/>
      <c r="M57" s="3"/>
      <c r="N57" s="3"/>
    </row>
    <row r="58" spans="1:14" x14ac:dyDescent="0.3">
      <c r="A58" s="67" t="str">
        <f>'BEREGNING NØKKELTALL'!$K$89</f>
        <v>Skriv inn gruppes budsjettforslag 2027</v>
      </c>
      <c r="K58" s="4"/>
      <c r="L58" s="4"/>
      <c r="M58" s="4"/>
      <c r="N58" s="4"/>
    </row>
    <row r="59" spans="1:14" x14ac:dyDescent="0.3">
      <c r="A59" s="66" t="str">
        <f>'BEREGNING NØKKELTALL'!$J$89</f>
        <v>Finansielt måltall ihht økonomireglmenentet</v>
      </c>
    </row>
    <row r="60" spans="1:14" x14ac:dyDescent="0.3">
      <c r="K60" s="3"/>
      <c r="L60" s="3"/>
      <c r="M60" s="3"/>
      <c r="N60" s="3"/>
    </row>
    <row r="61" spans="1:14" x14ac:dyDescent="0.3">
      <c r="A61" s="100" t="str">
        <f>A57</f>
        <v>Kommunedirektørens budsjettforslag 2027</v>
      </c>
      <c r="B61" s="100"/>
      <c r="C61" s="100"/>
      <c r="E61" s="101" t="str">
        <f>A58</f>
        <v>Skriv inn gruppes budsjettforslag 2027</v>
      </c>
      <c r="F61" s="101"/>
      <c r="G61" s="101"/>
      <c r="K61" s="3"/>
      <c r="L61" s="3"/>
      <c r="M61" s="3"/>
      <c r="N61" s="3"/>
    </row>
    <row r="62" spans="1:14" x14ac:dyDescent="0.3">
      <c r="A62" s="100"/>
      <c r="B62" s="100"/>
      <c r="C62" s="100"/>
      <c r="E62" s="101"/>
      <c r="F62" s="101"/>
      <c r="G62" s="101"/>
      <c r="K62" s="3"/>
      <c r="L62" s="3"/>
      <c r="M62" s="3"/>
      <c r="N62" s="3"/>
    </row>
    <row r="63" spans="1:14" ht="16.5" customHeight="1" x14ac:dyDescent="0.3">
      <c r="B63" s="102" t="str">
        <f>'BEREGNING NØKKELTALL'!$C$100</f>
        <v>Netto driftsresultat i prosent av driftsinntektene</v>
      </c>
      <c r="C63" s="102"/>
      <c r="F63" s="102" t="str">
        <f>$B$11</f>
        <v>Netto driftsresultat i prosent av driftsinntektene</v>
      </c>
      <c r="G63" s="102"/>
    </row>
    <row r="64" spans="1:14" x14ac:dyDescent="0.3">
      <c r="B64" s="102"/>
      <c r="C64" s="102"/>
      <c r="F64" s="102"/>
      <c r="G64" s="102"/>
    </row>
    <row r="65" spans="2:7" x14ac:dyDescent="0.3">
      <c r="B65" s="92">
        <f>'BEREGNING NØKKELTALL'!$D$90</f>
        <v>2.0425566013986967E-2</v>
      </c>
      <c r="C65" s="74"/>
      <c r="D65" s="27"/>
      <c r="E65" s="27"/>
      <c r="F65" s="93">
        <f>'BEREGNING NØKKELTALL'!$E$90</f>
        <v>2.0425566013986967E-2</v>
      </c>
      <c r="G65" s="73"/>
    </row>
    <row r="66" spans="2:7" x14ac:dyDescent="0.3">
      <c r="B66" s="76">
        <f>'BEREGNING NØKKELTALL'!$F$85</f>
        <v>0.02</v>
      </c>
      <c r="C66" s="27"/>
      <c r="D66" s="27"/>
      <c r="E66" s="27"/>
      <c r="F66" s="76">
        <f>$B$14</f>
        <v>0.02</v>
      </c>
    </row>
    <row r="67" spans="2:7" hidden="1" x14ac:dyDescent="0.3"/>
    <row r="68" spans="2:7" hidden="1" x14ac:dyDescent="0.3"/>
    <row r="69" spans="2:7" hidden="1" x14ac:dyDescent="0.3"/>
    <row r="70" spans="2:7" hidden="1" x14ac:dyDescent="0.3"/>
    <row r="71" spans="2:7" hidden="1" x14ac:dyDescent="0.3"/>
    <row r="72" spans="2:7" hidden="1" x14ac:dyDescent="0.3"/>
    <row r="73" spans="2:7" hidden="1" x14ac:dyDescent="0.3"/>
    <row r="74" spans="2:7" hidden="1" x14ac:dyDescent="0.3"/>
    <row r="75" spans="2:7" hidden="1" x14ac:dyDescent="0.3"/>
    <row r="76" spans="2:7" hidden="1" x14ac:dyDescent="0.3"/>
    <row r="77" spans="2:7" hidden="1" x14ac:dyDescent="0.3"/>
    <row r="78" spans="2:7" hidden="1" x14ac:dyDescent="0.3"/>
    <row r="79" spans="2:7" hidden="1" x14ac:dyDescent="0.3"/>
    <row r="80" spans="2:7" hidden="1" x14ac:dyDescent="0.3"/>
    <row r="81" spans="1:14" hidden="1" x14ac:dyDescent="0.3"/>
    <row r="82" spans="1:14" hidden="1" x14ac:dyDescent="0.3"/>
    <row r="83" spans="1:14" hidden="1" x14ac:dyDescent="0.3"/>
    <row r="84" spans="1:14" hidden="1" x14ac:dyDescent="0.3"/>
    <row r="85" spans="1:14" hidden="1" x14ac:dyDescent="0.3"/>
    <row r="86" spans="1:14" hidden="1" x14ac:dyDescent="0.3">
      <c r="B86" s="4"/>
      <c r="C86" s="4"/>
      <c r="D86" s="4"/>
      <c r="E86" s="4"/>
      <c r="F86" s="4"/>
    </row>
    <row r="87" spans="1:14" x14ac:dyDescent="0.3">
      <c r="A87" s="4"/>
      <c r="B87" s="4"/>
      <c r="C87" s="4"/>
      <c r="D87" s="4"/>
      <c r="E87" s="4"/>
      <c r="F87" s="4"/>
    </row>
    <row r="88" spans="1:14" x14ac:dyDescent="0.3">
      <c r="B88" s="28"/>
      <c r="C88" s="28"/>
      <c r="D88" s="28"/>
      <c r="E88" s="28"/>
      <c r="F88" s="28"/>
      <c r="G88" s="29"/>
    </row>
    <row r="91" spans="1:14" x14ac:dyDescent="0.3">
      <c r="B91" s="3"/>
      <c r="C91" s="3"/>
      <c r="D91" s="3"/>
      <c r="E91" s="3"/>
      <c r="F91" s="3"/>
    </row>
    <row r="92" spans="1:14" x14ac:dyDescent="0.3">
      <c r="B92" s="3"/>
      <c r="C92" s="3"/>
      <c r="D92" s="3"/>
      <c r="E92" s="3"/>
      <c r="F92" s="3"/>
      <c r="K92" s="3"/>
      <c r="L92" s="3"/>
      <c r="M92" s="3"/>
      <c r="N92" s="3"/>
    </row>
    <row r="93" spans="1:14" x14ac:dyDescent="0.3">
      <c r="B93" s="4"/>
      <c r="C93" s="4"/>
      <c r="D93" s="4"/>
      <c r="E93" s="4"/>
      <c r="F93" s="4"/>
      <c r="K93" s="3"/>
      <c r="L93" s="3"/>
      <c r="M93" s="3"/>
      <c r="N93" s="3"/>
    </row>
    <row r="94" spans="1:14" x14ac:dyDescent="0.3">
      <c r="B94" s="15"/>
      <c r="C94" s="15"/>
      <c r="D94" s="15"/>
      <c r="E94" s="15"/>
      <c r="F94" s="15"/>
      <c r="K94" s="4"/>
      <c r="L94" s="4"/>
      <c r="M94" s="4"/>
      <c r="N94" s="4"/>
    </row>
    <row r="95" spans="1:14" x14ac:dyDescent="0.3">
      <c r="K95" s="15"/>
      <c r="L95" s="15"/>
      <c r="M95" s="15"/>
      <c r="N95" s="15"/>
    </row>
    <row r="98" spans="1:14" x14ac:dyDescent="0.3">
      <c r="B98" s="28"/>
      <c r="C98" s="28"/>
      <c r="D98" s="28"/>
      <c r="E98" s="28"/>
      <c r="F98" s="28"/>
    </row>
    <row r="99" spans="1:14" x14ac:dyDescent="0.3">
      <c r="B99" s="28"/>
      <c r="C99" s="28"/>
      <c r="D99" s="28"/>
      <c r="E99" s="28"/>
      <c r="F99" s="28"/>
      <c r="K99" s="28"/>
      <c r="L99" s="28"/>
      <c r="M99" s="28"/>
      <c r="N99" s="28"/>
    </row>
    <row r="100" spans="1:14" x14ac:dyDescent="0.3">
      <c r="B100" s="28"/>
      <c r="C100" s="28"/>
      <c r="D100" s="28"/>
      <c r="E100" s="28"/>
      <c r="F100" s="28"/>
      <c r="K100" s="28"/>
      <c r="L100" s="28"/>
      <c r="M100" s="28"/>
      <c r="N100" s="28"/>
    </row>
    <row r="101" spans="1:14" x14ac:dyDescent="0.3">
      <c r="B101" s="28"/>
      <c r="C101" s="28"/>
      <c r="D101" s="28"/>
      <c r="E101" s="28"/>
      <c r="F101" s="28"/>
      <c r="K101" s="28"/>
      <c r="L101" s="28"/>
      <c r="M101" s="28"/>
      <c r="N101" s="28"/>
    </row>
    <row r="102" spans="1:14" ht="16.5" customHeight="1" x14ac:dyDescent="0.3">
      <c r="A102" s="96" t="str">
        <f>'BEREGNING NØKKELTALL'!$C$102</f>
        <v>Dispsisjonsfond i prosent av driftsinntektene</v>
      </c>
      <c r="B102" s="97" t="str">
        <f>'BEREGNING NØKKELTALL'!$C$101</f>
        <v>Netto renteeksponert gjeld i prosent av driftsinntektene</v>
      </c>
      <c r="C102" s="97"/>
      <c r="E102" s="98" t="str">
        <f>$A$50</f>
        <v>Dispsisjonsfond i prosent av driftsinntektene</v>
      </c>
      <c r="F102" s="98"/>
      <c r="H102" s="99" t="str">
        <f>$B$50</f>
        <v>Netto renteeksponert gjeld i prosent av driftsinntektene</v>
      </c>
      <c r="I102" s="99"/>
      <c r="J102" s="72"/>
    </row>
    <row r="103" spans="1:14" x14ac:dyDescent="0.3">
      <c r="A103" s="96"/>
      <c r="B103" s="97"/>
      <c r="C103" s="97"/>
      <c r="E103" s="98"/>
      <c r="F103" s="98"/>
      <c r="H103" s="99"/>
      <c r="I103" s="99"/>
    </row>
    <row r="104" spans="1:14" x14ac:dyDescent="0.3">
      <c r="A104" s="77">
        <f>'BEREGNING NØKKELTALL'!$D$92</f>
        <v>7.8329879808255648E-2</v>
      </c>
      <c r="B104" s="78"/>
      <c r="C104" s="79">
        <f>'BEREGNING NØKKELTALL'!$D$91</f>
        <v>0.72827548773324524</v>
      </c>
      <c r="D104" s="27"/>
      <c r="E104" s="80">
        <f>'BEREGNING NØKKELTALL'!$E$92</f>
        <v>7.8329879808255648E-2</v>
      </c>
      <c r="F104" s="78"/>
      <c r="G104" s="27"/>
      <c r="H104" s="75">
        <f>'BEREGNING NØKKELTALL'!$E$91</f>
        <v>0.72827548773324524</v>
      </c>
    </row>
    <row r="105" spans="1:14" x14ac:dyDescent="0.3">
      <c r="A105" s="81">
        <f>'BEREGNING NØKKELTALL'!$F$102</f>
        <v>0.1</v>
      </c>
      <c r="B105" s="27"/>
      <c r="C105" s="82">
        <f>'BEREGNING NØKKELTALL'!$F$101</f>
        <v>0.75</v>
      </c>
      <c r="D105" s="27"/>
      <c r="E105" s="81">
        <f>$A$53</f>
        <v>0.1</v>
      </c>
      <c r="F105" s="27"/>
      <c r="G105" s="27"/>
      <c r="H105" s="76">
        <f>$C$53</f>
        <v>0.75</v>
      </c>
    </row>
    <row r="108" spans="1:14" ht="27.75" x14ac:dyDescent="0.45">
      <c r="A108" s="71">
        <v>2028</v>
      </c>
    </row>
    <row r="109" spans="1:14" x14ac:dyDescent="0.3">
      <c r="A109" s="68" t="str">
        <f>'BEREGNING NØKKELTALL'!$I$94</f>
        <v>Kommunedirektørens budsjettforslag 2028</v>
      </c>
      <c r="K109" s="3"/>
      <c r="L109" s="3"/>
      <c r="M109" s="3"/>
      <c r="N109" s="3"/>
    </row>
    <row r="110" spans="1:14" x14ac:dyDescent="0.3">
      <c r="A110" s="67" t="str">
        <f>'BEREGNING NØKKELTALL'!$K$94</f>
        <v>Skriv inn gruppes budsjettforslag 2028</v>
      </c>
      <c r="K110" s="4"/>
      <c r="L110" s="4"/>
      <c r="M110" s="4"/>
      <c r="N110" s="4"/>
    </row>
    <row r="111" spans="1:14" x14ac:dyDescent="0.3">
      <c r="A111" s="66" t="str">
        <f>'BEREGNING NØKKELTALL'!$J$89</f>
        <v>Finansielt måltall ihht økonomireglmenentet</v>
      </c>
    </row>
    <row r="112" spans="1:14" x14ac:dyDescent="0.3">
      <c r="K112" s="3"/>
      <c r="L112" s="3"/>
      <c r="M112" s="3"/>
      <c r="N112" s="3"/>
    </row>
    <row r="113" spans="1:14" x14ac:dyDescent="0.3">
      <c r="A113" s="100" t="str">
        <f>A109</f>
        <v>Kommunedirektørens budsjettforslag 2028</v>
      </c>
      <c r="B113" s="100"/>
      <c r="C113" s="100"/>
      <c r="E113" s="101" t="str">
        <f>A110</f>
        <v>Skriv inn gruppes budsjettforslag 2028</v>
      </c>
      <c r="F113" s="101"/>
      <c r="G113" s="101"/>
      <c r="K113" s="3"/>
      <c r="L113" s="3"/>
      <c r="M113" s="3"/>
      <c r="N113" s="3"/>
    </row>
    <row r="114" spans="1:14" x14ac:dyDescent="0.3">
      <c r="A114" s="100"/>
      <c r="B114" s="100"/>
      <c r="C114" s="100"/>
      <c r="E114" s="101"/>
      <c r="F114" s="101"/>
      <c r="G114" s="101"/>
      <c r="K114" s="3"/>
      <c r="L114" s="3"/>
      <c r="M114" s="3"/>
      <c r="N114" s="3"/>
    </row>
    <row r="115" spans="1:14" ht="16.5" customHeight="1" x14ac:dyDescent="0.3">
      <c r="B115" s="102" t="str">
        <f>'BEREGNING NØKKELTALL'!$C$100</f>
        <v>Netto driftsresultat i prosent av driftsinntektene</v>
      </c>
      <c r="C115" s="102"/>
      <c r="F115" s="102" t="str">
        <f>$B$11</f>
        <v>Netto driftsresultat i prosent av driftsinntektene</v>
      </c>
      <c r="G115" s="102"/>
    </row>
    <row r="116" spans="1:14" x14ac:dyDescent="0.3">
      <c r="B116" s="102"/>
      <c r="C116" s="102"/>
      <c r="F116" s="102"/>
      <c r="G116" s="102"/>
    </row>
    <row r="117" spans="1:14" x14ac:dyDescent="0.3">
      <c r="B117" s="92">
        <f>'BEREGNING NØKKELTALL'!$D$95</f>
        <v>2.5644846870037107E-2</v>
      </c>
      <c r="C117" s="74"/>
      <c r="D117" s="27"/>
      <c r="E117" s="27"/>
      <c r="F117" s="93">
        <f>'BEREGNING NØKKELTALL'!$E$95</f>
        <v>2.5644846870037107E-2</v>
      </c>
      <c r="G117" s="73"/>
    </row>
    <row r="118" spans="1:14" x14ac:dyDescent="0.3">
      <c r="B118" s="76">
        <f>'BEREGNING NØKKELTALL'!$F$85</f>
        <v>0.02</v>
      </c>
      <c r="C118" s="27"/>
      <c r="D118" s="27"/>
      <c r="E118" s="27"/>
      <c r="F118" s="76">
        <f>$B$14</f>
        <v>0.02</v>
      </c>
    </row>
    <row r="119" spans="1:14" hidden="1" x14ac:dyDescent="0.3"/>
    <row r="120" spans="1:14" hidden="1" x14ac:dyDescent="0.3"/>
    <row r="121" spans="1:14" hidden="1" x14ac:dyDescent="0.3"/>
    <row r="122" spans="1:14" hidden="1" x14ac:dyDescent="0.3"/>
    <row r="123" spans="1:14" hidden="1" x14ac:dyDescent="0.3"/>
    <row r="124" spans="1:14" hidden="1" x14ac:dyDescent="0.3"/>
    <row r="125" spans="1:14" hidden="1" x14ac:dyDescent="0.3"/>
    <row r="126" spans="1:14" hidden="1" x14ac:dyDescent="0.3"/>
    <row r="127" spans="1:14" hidden="1" x14ac:dyDescent="0.3"/>
    <row r="128" spans="1:14" hidden="1" x14ac:dyDescent="0.3"/>
    <row r="129" spans="1:14" hidden="1" x14ac:dyDescent="0.3"/>
    <row r="130" spans="1:14" hidden="1" x14ac:dyDescent="0.3"/>
    <row r="131" spans="1:14" hidden="1" x14ac:dyDescent="0.3"/>
    <row r="132" spans="1:14" hidden="1" x14ac:dyDescent="0.3"/>
    <row r="133" spans="1:14" hidden="1" x14ac:dyDescent="0.3"/>
    <row r="134" spans="1:14" hidden="1" x14ac:dyDescent="0.3"/>
    <row r="135" spans="1:14" hidden="1" x14ac:dyDescent="0.3"/>
    <row r="136" spans="1:14" hidden="1" x14ac:dyDescent="0.3"/>
    <row r="137" spans="1:14" hidden="1" x14ac:dyDescent="0.3"/>
    <row r="138" spans="1:14" hidden="1" x14ac:dyDescent="0.3">
      <c r="B138" s="4"/>
      <c r="C138" s="4"/>
      <c r="D138" s="4"/>
      <c r="E138" s="4"/>
      <c r="F138" s="4"/>
    </row>
    <row r="139" spans="1:14" x14ac:dyDescent="0.3">
      <c r="A139" s="4"/>
      <c r="B139" s="4"/>
      <c r="C139" s="4"/>
      <c r="D139" s="4"/>
      <c r="E139" s="4"/>
      <c r="F139" s="4"/>
    </row>
    <row r="140" spans="1:14" x14ac:dyDescent="0.3">
      <c r="B140" s="28"/>
      <c r="C140" s="28"/>
      <c r="D140" s="28"/>
      <c r="E140" s="28"/>
      <c r="F140" s="28"/>
      <c r="G140" s="29"/>
    </row>
    <row r="143" spans="1:14" x14ac:dyDescent="0.3">
      <c r="B143" s="3"/>
      <c r="C143" s="3"/>
      <c r="D143" s="3"/>
      <c r="E143" s="3"/>
      <c r="F143" s="3"/>
    </row>
    <row r="144" spans="1:14" x14ac:dyDescent="0.3">
      <c r="B144" s="3"/>
      <c r="C144" s="3"/>
      <c r="D144" s="3"/>
      <c r="E144" s="3"/>
      <c r="F144" s="3"/>
      <c r="K144" s="3"/>
      <c r="L144" s="3"/>
      <c r="M144" s="3"/>
      <c r="N144" s="3"/>
    </row>
    <row r="145" spans="1:14" x14ac:dyDescent="0.3">
      <c r="B145" s="4"/>
      <c r="C145" s="4"/>
      <c r="D145" s="4"/>
      <c r="E145" s="4"/>
      <c r="F145" s="4"/>
      <c r="K145" s="3"/>
      <c r="L145" s="3"/>
      <c r="M145" s="3"/>
      <c r="N145" s="3"/>
    </row>
    <row r="146" spans="1:14" x14ac:dyDescent="0.3">
      <c r="B146" s="15"/>
      <c r="C146" s="15"/>
      <c r="D146" s="15"/>
      <c r="E146" s="15"/>
      <c r="F146" s="15"/>
      <c r="K146" s="4"/>
      <c r="L146" s="4"/>
      <c r="M146" s="4"/>
      <c r="N146" s="4"/>
    </row>
    <row r="147" spans="1:14" x14ac:dyDescent="0.3">
      <c r="K147" s="15"/>
      <c r="L147" s="15"/>
      <c r="M147" s="15"/>
      <c r="N147" s="15"/>
    </row>
    <row r="150" spans="1:14" x14ac:dyDescent="0.3">
      <c r="B150" s="28"/>
      <c r="C150" s="28"/>
      <c r="D150" s="28"/>
      <c r="E150" s="28"/>
      <c r="F150" s="28"/>
    </row>
    <row r="151" spans="1:14" x14ac:dyDescent="0.3">
      <c r="B151" s="28"/>
      <c r="C151" s="28"/>
      <c r="D151" s="28"/>
      <c r="E151" s="28"/>
      <c r="F151" s="28"/>
      <c r="K151" s="28"/>
      <c r="L151" s="28"/>
      <c r="M151" s="28"/>
      <c r="N151" s="28"/>
    </row>
    <row r="152" spans="1:14" x14ac:dyDescent="0.3">
      <c r="B152" s="28"/>
      <c r="C152" s="28"/>
      <c r="D152" s="28"/>
      <c r="E152" s="28"/>
      <c r="F152" s="28"/>
      <c r="K152" s="28"/>
      <c r="L152" s="28"/>
      <c r="M152" s="28"/>
      <c r="N152" s="28"/>
    </row>
    <row r="153" spans="1:14" x14ac:dyDescent="0.3">
      <c r="B153" s="28"/>
      <c r="C153" s="28"/>
      <c r="D153" s="28"/>
      <c r="E153" s="28"/>
      <c r="F153" s="28"/>
      <c r="K153" s="28"/>
      <c r="L153" s="28"/>
      <c r="M153" s="28"/>
      <c r="N153" s="28"/>
    </row>
    <row r="154" spans="1:14" ht="16.5" customHeight="1" x14ac:dyDescent="0.3">
      <c r="A154" s="96" t="str">
        <f>'BEREGNING NØKKELTALL'!$C$102</f>
        <v>Dispsisjonsfond i prosent av driftsinntektene</v>
      </c>
      <c r="B154" s="97" t="str">
        <f>'BEREGNING NØKKELTALL'!$C$101</f>
        <v>Netto renteeksponert gjeld i prosent av driftsinntektene</v>
      </c>
      <c r="C154" s="97"/>
      <c r="E154" s="98" t="str">
        <f>$A$50</f>
        <v>Dispsisjonsfond i prosent av driftsinntektene</v>
      </c>
      <c r="F154" s="98"/>
      <c r="H154" s="99" t="str">
        <f>$B$50</f>
        <v>Netto renteeksponert gjeld i prosent av driftsinntektene</v>
      </c>
      <c r="I154" s="99"/>
      <c r="J154" s="72"/>
    </row>
    <row r="155" spans="1:14" x14ac:dyDescent="0.3">
      <c r="A155" s="96"/>
      <c r="B155" s="97"/>
      <c r="C155" s="97"/>
      <c r="E155" s="98"/>
      <c r="F155" s="98"/>
      <c r="H155" s="99"/>
      <c r="I155" s="99"/>
    </row>
    <row r="156" spans="1:14" x14ac:dyDescent="0.3">
      <c r="A156" s="77">
        <f>'BEREGNING NØKKELTALL'!$D$97</f>
        <v>9.1535514560329975E-2</v>
      </c>
      <c r="B156" s="78"/>
      <c r="C156" s="79">
        <f>'BEREGNING NØKKELTALL'!$D$96</f>
        <v>0.69853756933938482</v>
      </c>
      <c r="D156" s="27"/>
      <c r="E156" s="80">
        <f>'BEREGNING NØKKELTALL'!$E$97</f>
        <v>9.1535514560329975E-2</v>
      </c>
      <c r="F156" s="78"/>
      <c r="G156" s="27"/>
      <c r="H156" s="75">
        <f>'BEREGNING NØKKELTALL'!$E$96</f>
        <v>0.69853756933938482</v>
      </c>
    </row>
    <row r="157" spans="1:14" x14ac:dyDescent="0.3">
      <c r="A157" s="81">
        <f>'BEREGNING NØKKELTALL'!$F$102</f>
        <v>0.1</v>
      </c>
      <c r="B157" s="27"/>
      <c r="C157" s="82">
        <f>'BEREGNING NØKKELTALL'!$F$101</f>
        <v>0.75</v>
      </c>
      <c r="D157" s="27"/>
      <c r="E157" s="81">
        <f>$A$53</f>
        <v>0.1</v>
      </c>
      <c r="F157" s="27"/>
      <c r="G157" s="27"/>
      <c r="H157" s="76">
        <f>$C$53</f>
        <v>0.75</v>
      </c>
    </row>
    <row r="160" spans="1:14" ht="27.75" x14ac:dyDescent="0.45">
      <c r="A160" s="71">
        <v>2029</v>
      </c>
    </row>
    <row r="161" spans="1:14" x14ac:dyDescent="0.3">
      <c r="A161" s="68" t="str">
        <f>'BEREGNING NØKKELTALL'!$I$99</f>
        <v>Kommunedirektørens budsjettforslag 2029</v>
      </c>
      <c r="K161" s="3"/>
      <c r="L161" s="3"/>
      <c r="M161" s="3"/>
      <c r="N161" s="3"/>
    </row>
    <row r="162" spans="1:14" x14ac:dyDescent="0.3">
      <c r="A162" s="67" t="str">
        <f>'BEREGNING NØKKELTALL'!$K$99</f>
        <v>Skriv inn gruppes budsjettforslag 2029</v>
      </c>
      <c r="K162" s="4"/>
      <c r="L162" s="4"/>
      <c r="M162" s="4"/>
      <c r="N162" s="4"/>
    </row>
    <row r="163" spans="1:14" x14ac:dyDescent="0.3">
      <c r="A163" s="66" t="str">
        <f>'BEREGNING NØKKELTALL'!$J$89</f>
        <v>Finansielt måltall ihht økonomireglmenentet</v>
      </c>
    </row>
    <row r="164" spans="1:14" x14ac:dyDescent="0.3">
      <c r="K164" s="3"/>
      <c r="L164" s="3"/>
      <c r="M164" s="3"/>
      <c r="N164" s="3"/>
    </row>
    <row r="165" spans="1:14" x14ac:dyDescent="0.3">
      <c r="A165" s="100" t="str">
        <f>A161</f>
        <v>Kommunedirektørens budsjettforslag 2029</v>
      </c>
      <c r="B165" s="100"/>
      <c r="C165" s="100"/>
      <c r="E165" s="101" t="str">
        <f>A162</f>
        <v>Skriv inn gruppes budsjettforslag 2029</v>
      </c>
      <c r="F165" s="101"/>
      <c r="G165" s="101"/>
      <c r="K165" s="3"/>
      <c r="L165" s="3"/>
      <c r="M165" s="3"/>
      <c r="N165" s="3"/>
    </row>
    <row r="166" spans="1:14" x14ac:dyDescent="0.3">
      <c r="A166" s="100"/>
      <c r="B166" s="100"/>
      <c r="C166" s="100"/>
      <c r="E166" s="101"/>
      <c r="F166" s="101"/>
      <c r="G166" s="101"/>
      <c r="K166" s="3"/>
      <c r="L166" s="3"/>
      <c r="M166" s="3"/>
      <c r="N166" s="3"/>
    </row>
    <row r="167" spans="1:14" ht="16.5" customHeight="1" x14ac:dyDescent="0.3">
      <c r="B167" s="102" t="str">
        <f>'BEREGNING NØKKELTALL'!$C$100</f>
        <v>Netto driftsresultat i prosent av driftsinntektene</v>
      </c>
      <c r="C167" s="102"/>
      <c r="F167" s="102" t="str">
        <f>$B$11</f>
        <v>Netto driftsresultat i prosent av driftsinntektene</v>
      </c>
      <c r="G167" s="102"/>
    </row>
    <row r="168" spans="1:14" x14ac:dyDescent="0.3">
      <c r="B168" s="102"/>
      <c r="C168" s="102"/>
      <c r="F168" s="102"/>
      <c r="G168" s="102"/>
    </row>
    <row r="169" spans="1:14" x14ac:dyDescent="0.3">
      <c r="B169" s="92">
        <f>'BEREGNING NØKKELTALL'!$D$100</f>
        <v>2.8935450821209081E-2</v>
      </c>
      <c r="C169" s="74"/>
      <c r="D169" s="27"/>
      <c r="E169" s="27"/>
      <c r="F169" s="93">
        <f>'BEREGNING NØKKELTALL'!$E$100</f>
        <v>2.8935450821209081E-2</v>
      </c>
      <c r="G169" s="73"/>
    </row>
    <row r="170" spans="1:14" x14ac:dyDescent="0.3">
      <c r="B170" s="76">
        <f>'BEREGNING NØKKELTALL'!$F$85</f>
        <v>0.02</v>
      </c>
      <c r="C170" s="27"/>
      <c r="D170" s="27"/>
      <c r="E170" s="27"/>
      <c r="F170" s="76">
        <f>$B$14</f>
        <v>0.02</v>
      </c>
    </row>
    <row r="171" spans="1:14" hidden="1" x14ac:dyDescent="0.3"/>
    <row r="172" spans="1:14" hidden="1" x14ac:dyDescent="0.3"/>
    <row r="173" spans="1:14" hidden="1" x14ac:dyDescent="0.3"/>
    <row r="174" spans="1:14" hidden="1" x14ac:dyDescent="0.3"/>
    <row r="175" spans="1:14" hidden="1" x14ac:dyDescent="0.3"/>
    <row r="176" spans="1:14" hidden="1" x14ac:dyDescent="0.3"/>
    <row r="177" spans="1:7" hidden="1" x14ac:dyDescent="0.3"/>
    <row r="178" spans="1:7" hidden="1" x14ac:dyDescent="0.3"/>
    <row r="179" spans="1:7" hidden="1" x14ac:dyDescent="0.3"/>
    <row r="180" spans="1:7" hidden="1" x14ac:dyDescent="0.3"/>
    <row r="181" spans="1:7" hidden="1" x14ac:dyDescent="0.3"/>
    <row r="182" spans="1:7" hidden="1" x14ac:dyDescent="0.3"/>
    <row r="183" spans="1:7" hidden="1" x14ac:dyDescent="0.3"/>
    <row r="184" spans="1:7" hidden="1" x14ac:dyDescent="0.3"/>
    <row r="185" spans="1:7" hidden="1" x14ac:dyDescent="0.3"/>
    <row r="186" spans="1:7" hidden="1" x14ac:dyDescent="0.3"/>
    <row r="187" spans="1:7" hidden="1" x14ac:dyDescent="0.3"/>
    <row r="188" spans="1:7" hidden="1" x14ac:dyDescent="0.3"/>
    <row r="189" spans="1:7" hidden="1" x14ac:dyDescent="0.3"/>
    <row r="190" spans="1:7" hidden="1" x14ac:dyDescent="0.3">
      <c r="B190" s="4"/>
      <c r="C190" s="4"/>
      <c r="D190" s="4"/>
      <c r="E190" s="4"/>
      <c r="F190" s="4"/>
    </row>
    <row r="191" spans="1:7" x14ac:dyDescent="0.3">
      <c r="A191" s="4"/>
      <c r="B191" s="4"/>
      <c r="C191" s="4"/>
      <c r="D191" s="4"/>
      <c r="E191" s="4"/>
      <c r="F191" s="4"/>
    </row>
    <row r="192" spans="1:7" x14ac:dyDescent="0.3">
      <c r="B192" s="28"/>
      <c r="C192" s="28"/>
      <c r="D192" s="28"/>
      <c r="E192" s="28"/>
      <c r="F192" s="28"/>
      <c r="G192" s="29"/>
    </row>
    <row r="195" spans="1:14" x14ac:dyDescent="0.3">
      <c r="B195" s="3"/>
      <c r="C195" s="3"/>
      <c r="D195" s="3"/>
      <c r="E195" s="3"/>
      <c r="F195" s="3"/>
    </row>
    <row r="196" spans="1:14" x14ac:dyDescent="0.3">
      <c r="B196" s="3"/>
      <c r="C196" s="3"/>
      <c r="D196" s="3"/>
      <c r="E196" s="3"/>
      <c r="F196" s="3"/>
      <c r="K196" s="3"/>
      <c r="L196" s="3"/>
      <c r="M196" s="3"/>
      <c r="N196" s="3"/>
    </row>
    <row r="197" spans="1:14" x14ac:dyDescent="0.3">
      <c r="B197" s="4"/>
      <c r="C197" s="4"/>
      <c r="D197" s="4"/>
      <c r="E197" s="4"/>
      <c r="F197" s="4"/>
      <c r="K197" s="3"/>
      <c r="L197" s="3"/>
      <c r="M197" s="3"/>
      <c r="N197" s="3"/>
    </row>
    <row r="198" spans="1:14" x14ac:dyDescent="0.3">
      <c r="B198" s="15"/>
      <c r="C198" s="15"/>
      <c r="D198" s="15"/>
      <c r="E198" s="15"/>
      <c r="F198" s="15"/>
      <c r="K198" s="4"/>
      <c r="L198" s="4"/>
      <c r="M198" s="4"/>
      <c r="N198" s="4"/>
    </row>
    <row r="199" spans="1:14" x14ac:dyDescent="0.3">
      <c r="K199" s="15"/>
      <c r="L199" s="15"/>
      <c r="M199" s="15"/>
      <c r="N199" s="15"/>
    </row>
    <row r="202" spans="1:14" x14ac:dyDescent="0.3">
      <c r="B202" s="28"/>
      <c r="C202" s="28"/>
      <c r="D202" s="28"/>
      <c r="E202" s="28"/>
      <c r="F202" s="28"/>
    </row>
    <row r="203" spans="1:14" x14ac:dyDescent="0.3">
      <c r="B203" s="28"/>
      <c r="C203" s="28"/>
      <c r="D203" s="28"/>
      <c r="E203" s="28"/>
      <c r="F203" s="28"/>
      <c r="K203" s="28"/>
      <c r="L203" s="28"/>
      <c r="M203" s="28"/>
      <c r="N203" s="28"/>
    </row>
    <row r="204" spans="1:14" x14ac:dyDescent="0.3">
      <c r="B204" s="28"/>
      <c r="C204" s="28"/>
      <c r="D204" s="28"/>
      <c r="E204" s="28"/>
      <c r="F204" s="28"/>
      <c r="K204" s="28"/>
      <c r="L204" s="28"/>
      <c r="M204" s="28"/>
      <c r="N204" s="28"/>
    </row>
    <row r="205" spans="1:14" x14ac:dyDescent="0.3">
      <c r="B205" s="28"/>
      <c r="C205" s="28"/>
      <c r="D205" s="28"/>
      <c r="E205" s="28"/>
      <c r="F205" s="28"/>
      <c r="K205" s="28"/>
      <c r="L205" s="28"/>
      <c r="M205" s="28"/>
      <c r="N205" s="28"/>
    </row>
    <row r="206" spans="1:14" ht="16.5" customHeight="1" x14ac:dyDescent="0.3">
      <c r="A206" s="96" t="str">
        <f>'BEREGNING NØKKELTALL'!$C$102</f>
        <v>Dispsisjonsfond i prosent av driftsinntektene</v>
      </c>
      <c r="B206" s="97" t="str">
        <f>'BEREGNING NØKKELTALL'!$C$101</f>
        <v>Netto renteeksponert gjeld i prosent av driftsinntektene</v>
      </c>
      <c r="C206" s="97"/>
      <c r="E206" s="98" t="str">
        <f>$A$50</f>
        <v>Dispsisjonsfond i prosent av driftsinntektene</v>
      </c>
      <c r="F206" s="98"/>
      <c r="H206" s="99" t="str">
        <f>$B$50</f>
        <v>Netto renteeksponert gjeld i prosent av driftsinntektene</v>
      </c>
      <c r="I206" s="99"/>
      <c r="J206" s="72"/>
    </row>
    <row r="207" spans="1:14" x14ac:dyDescent="0.3">
      <c r="A207" s="96"/>
      <c r="B207" s="97"/>
      <c r="C207" s="97"/>
      <c r="E207" s="98"/>
      <c r="F207" s="98"/>
      <c r="H207" s="99"/>
      <c r="I207" s="99"/>
    </row>
    <row r="208" spans="1:14" x14ac:dyDescent="0.3">
      <c r="A208" s="77">
        <f>'BEREGNING NØKKELTALL'!$D$102</f>
        <v>0.10471559569722143</v>
      </c>
      <c r="B208" s="78"/>
      <c r="C208" s="79">
        <f>'BEREGNING NØKKELTALL'!$D$101</f>
        <v>0.69702942672120893</v>
      </c>
      <c r="D208" s="27"/>
      <c r="E208" s="80">
        <f>'BEREGNING NØKKELTALL'!$E$102</f>
        <v>0.10471559569722143</v>
      </c>
      <c r="F208" s="78"/>
      <c r="G208" s="27"/>
      <c r="H208" s="75">
        <f>'BEREGNING NØKKELTALL'!$E$101</f>
        <v>0.69702942672120893</v>
      </c>
    </row>
    <row r="209" spans="1:8" x14ac:dyDescent="0.3">
      <c r="A209" s="81">
        <f>'BEREGNING NØKKELTALL'!$F$102</f>
        <v>0.1</v>
      </c>
      <c r="B209" s="27"/>
      <c r="C209" s="82">
        <f>'BEREGNING NØKKELTALL'!$F$101</f>
        <v>0.75</v>
      </c>
      <c r="D209" s="27"/>
      <c r="E209" s="81">
        <f>$A$53</f>
        <v>0.1</v>
      </c>
      <c r="F209" s="27"/>
      <c r="G209" s="27"/>
      <c r="H209" s="76">
        <f>$C$53</f>
        <v>0.75</v>
      </c>
    </row>
  </sheetData>
  <sheetProtection algorithmName="SHA-512" hashValue="VeP5InhsikNve+OggqQZdSqOhjAkPQtEyB+CAC6zjnRPbrvVKSMoSTR80+paxa2wK01pT9wUPXetSC3417wokA==" saltValue="TgkIGi190OF03YzTtPXnng==" spinCount="100000" sheet="1" objects="1" scenarios="1"/>
  <mergeCells count="33">
    <mergeCell ref="A206:A207"/>
    <mergeCell ref="B206:C207"/>
    <mergeCell ref="E206:F207"/>
    <mergeCell ref="H206:I207"/>
    <mergeCell ref="H154:I155"/>
    <mergeCell ref="A165:C166"/>
    <mergeCell ref="E165:G166"/>
    <mergeCell ref="B167:C168"/>
    <mergeCell ref="F167:G168"/>
    <mergeCell ref="A113:C114"/>
    <mergeCell ref="E113:G114"/>
    <mergeCell ref="B115:C116"/>
    <mergeCell ref="F115:G116"/>
    <mergeCell ref="A154:A155"/>
    <mergeCell ref="B154:C155"/>
    <mergeCell ref="E154:F155"/>
    <mergeCell ref="B2:H2"/>
    <mergeCell ref="B11:C12"/>
    <mergeCell ref="B50:C51"/>
    <mergeCell ref="A9:C10"/>
    <mergeCell ref="A50:A51"/>
    <mergeCell ref="E9:G10"/>
    <mergeCell ref="F11:G12"/>
    <mergeCell ref="E50:F51"/>
    <mergeCell ref="A102:A103"/>
    <mergeCell ref="B102:C103"/>
    <mergeCell ref="E102:F103"/>
    <mergeCell ref="H102:I103"/>
    <mergeCell ref="H50:I51"/>
    <mergeCell ref="A61:C62"/>
    <mergeCell ref="E61:G62"/>
    <mergeCell ref="B63:C64"/>
    <mergeCell ref="F63:G64"/>
  </mergeCells>
  <pageMargins left="0.25" right="0.25" top="0.75" bottom="0.75" header="0.3" footer="0.3"/>
  <pageSetup paperSize="9" scale="56" fitToHeight="0" orientation="landscape" verticalDpi="0" r:id="rId1"/>
  <rowBreaks count="3" manualBreakCount="3">
    <brk id="54" max="16383" man="1"/>
    <brk id="106" max="16383" man="1"/>
    <brk id="15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FDFE-AE28-4866-99EF-FBFF377CFEF5}">
  <sheetPr>
    <tabColor rgb="FF4C9C2E"/>
    <pageSetUpPr fitToPage="1"/>
  </sheetPr>
  <dimension ref="A1:U86"/>
  <sheetViews>
    <sheetView showGridLines="0" zoomScale="90" zoomScaleNormal="90" workbookViewId="0">
      <selection activeCell="A31" sqref="A31"/>
    </sheetView>
  </sheetViews>
  <sheetFormatPr baseColWidth="10" defaultColWidth="11.42578125" defaultRowHeight="16.5" x14ac:dyDescent="0.3"/>
  <cols>
    <col min="1" max="1" width="55.7109375" style="2" customWidth="1"/>
    <col min="2" max="3" width="13.7109375" style="2" customWidth="1"/>
    <col min="4" max="7" width="13.7109375" style="3" customWidth="1"/>
    <col min="8" max="13" width="13.7109375" style="2" customWidth="1"/>
    <col min="14" max="14" width="4.85546875" style="2" customWidth="1"/>
    <col min="15" max="21" width="14.42578125" style="2" customWidth="1"/>
    <col min="22" max="16384" width="11.42578125" style="2"/>
  </cols>
  <sheetData>
    <row r="1" spans="1:13" ht="34.5" customHeight="1" x14ac:dyDescent="0.45">
      <c r="A1" s="34" t="s">
        <v>1</v>
      </c>
    </row>
    <row r="2" spans="1:13" ht="51" customHeight="1" x14ac:dyDescent="0.3">
      <c r="A2" s="31" t="str">
        <f>IF(FORSIDE!B2="","Budsjettforslag","Budsjettforslag fra "&amp;FORSIDE!B2)</f>
        <v>Budsjettforslag fra Skriv inn gruppe</v>
      </c>
      <c r="B2" s="107" t="s">
        <v>2</v>
      </c>
      <c r="C2" s="107"/>
      <c r="D2" s="107"/>
      <c r="E2" s="108"/>
      <c r="F2" s="106" t="s">
        <v>3</v>
      </c>
      <c r="G2" s="107"/>
      <c r="H2" s="107"/>
      <c r="I2" s="108"/>
      <c r="J2" s="109" t="str">
        <f>IF(FORSIDE!B2="","Nytt budsjettforslag","Nytt budsjettforslag fra "&amp;FORSIDE!B2)</f>
        <v>Nytt budsjettforslag fra Skriv inn gruppe</v>
      </c>
      <c r="K2" s="109"/>
      <c r="L2" s="109"/>
      <c r="M2" s="109"/>
    </row>
    <row r="3" spans="1:13" x14ac:dyDescent="0.3">
      <c r="A3" s="7" t="s">
        <v>4</v>
      </c>
      <c r="B3" s="8">
        <v>2026</v>
      </c>
      <c r="C3" s="8">
        <v>2027</v>
      </c>
      <c r="D3" s="8">
        <v>2028</v>
      </c>
      <c r="E3" s="8">
        <v>2029</v>
      </c>
      <c r="F3" s="8">
        <v>2026</v>
      </c>
      <c r="G3" s="8">
        <v>2027</v>
      </c>
      <c r="H3" s="8">
        <v>2028</v>
      </c>
      <c r="I3" s="8">
        <v>2029</v>
      </c>
      <c r="J3" s="8">
        <v>2026</v>
      </c>
      <c r="K3" s="8">
        <v>2027</v>
      </c>
      <c r="L3" s="8">
        <v>2028</v>
      </c>
      <c r="M3" s="8">
        <v>2029</v>
      </c>
    </row>
    <row r="4" spans="1:13" x14ac:dyDescent="0.3">
      <c r="D4" s="2"/>
      <c r="E4" s="2"/>
      <c r="F4" s="9"/>
      <c r="G4" s="2"/>
      <c r="I4" s="10"/>
    </row>
    <row r="5" spans="1:13" x14ac:dyDescent="0.3">
      <c r="A5" s="2" t="s">
        <v>5</v>
      </c>
      <c r="B5" s="11">
        <v>-380592</v>
      </c>
      <c r="C5" s="11">
        <v>-383816</v>
      </c>
      <c r="D5" s="11">
        <v>-387914</v>
      </c>
      <c r="E5" s="11">
        <v>-389871</v>
      </c>
      <c r="F5" s="12">
        <f t="shared" ref="F5:I12" si="0">SUMIF($B:$B,$A5,F:F)</f>
        <v>0</v>
      </c>
      <c r="G5" s="13">
        <f t="shared" si="0"/>
        <v>0</v>
      </c>
      <c r="H5" s="13">
        <f t="shared" si="0"/>
        <v>0</v>
      </c>
      <c r="I5" s="14">
        <f t="shared" si="0"/>
        <v>0</v>
      </c>
      <c r="J5" s="11">
        <f>B5+F5</f>
        <v>-380592</v>
      </c>
      <c r="K5" s="11">
        <f t="shared" ref="K5:M5" si="1">C5+G5</f>
        <v>-383816</v>
      </c>
      <c r="L5" s="11">
        <f t="shared" si="1"/>
        <v>-387914</v>
      </c>
      <c r="M5" s="11">
        <f t="shared" si="1"/>
        <v>-389871</v>
      </c>
    </row>
    <row r="6" spans="1:13" x14ac:dyDescent="0.3">
      <c r="A6" s="2" t="s">
        <v>6</v>
      </c>
      <c r="B6" s="11">
        <v>-565217</v>
      </c>
      <c r="C6" s="11">
        <v>-565217</v>
      </c>
      <c r="D6" s="11">
        <v>-565217</v>
      </c>
      <c r="E6" s="11">
        <v>-565217</v>
      </c>
      <c r="F6" s="12">
        <f t="shared" si="0"/>
        <v>0</v>
      </c>
      <c r="G6" s="13">
        <f t="shared" si="0"/>
        <v>0</v>
      </c>
      <c r="H6" s="13">
        <f t="shared" si="0"/>
        <v>0</v>
      </c>
      <c r="I6" s="14">
        <f t="shared" si="0"/>
        <v>0</v>
      </c>
      <c r="J6" s="11">
        <f t="shared" ref="J6:J12" si="2">B6+F6</f>
        <v>-565217</v>
      </c>
      <c r="K6" s="11">
        <f t="shared" ref="K6:K12" si="3">C6+G6</f>
        <v>-565217</v>
      </c>
      <c r="L6" s="11">
        <f t="shared" ref="L6:L12" si="4">D6+H6</f>
        <v>-565217</v>
      </c>
      <c r="M6" s="11">
        <f t="shared" ref="M6:M12" si="5">E6+I6</f>
        <v>-565217</v>
      </c>
    </row>
    <row r="7" spans="1:13" x14ac:dyDescent="0.3">
      <c r="A7" s="2" t="s">
        <v>7</v>
      </c>
      <c r="B7" s="11">
        <v>-21638</v>
      </c>
      <c r="C7" s="11">
        <v>-21638</v>
      </c>
      <c r="D7" s="11">
        <v>-21638</v>
      </c>
      <c r="E7" s="11">
        <v>-21638</v>
      </c>
      <c r="F7" s="12">
        <f t="shared" si="0"/>
        <v>0</v>
      </c>
      <c r="G7" s="13">
        <f t="shared" si="0"/>
        <v>0</v>
      </c>
      <c r="H7" s="13">
        <f t="shared" si="0"/>
        <v>0</v>
      </c>
      <c r="I7" s="14">
        <f t="shared" si="0"/>
        <v>0</v>
      </c>
      <c r="J7" s="11">
        <f t="shared" si="2"/>
        <v>-21638</v>
      </c>
      <c r="K7" s="11">
        <f t="shared" si="3"/>
        <v>-21638</v>
      </c>
      <c r="L7" s="11">
        <f t="shared" si="4"/>
        <v>-21638</v>
      </c>
      <c r="M7" s="11">
        <f t="shared" si="5"/>
        <v>-21638</v>
      </c>
    </row>
    <row r="8" spans="1:13" x14ac:dyDescent="0.3">
      <c r="A8" s="2" t="s">
        <v>8</v>
      </c>
      <c r="B8" s="11">
        <v>0</v>
      </c>
      <c r="C8" s="11">
        <v>0</v>
      </c>
      <c r="D8" s="11">
        <v>0</v>
      </c>
      <c r="E8" s="11">
        <v>0</v>
      </c>
      <c r="F8" s="12">
        <f t="shared" si="0"/>
        <v>0</v>
      </c>
      <c r="G8" s="13">
        <f t="shared" si="0"/>
        <v>0</v>
      </c>
      <c r="H8" s="13">
        <f t="shared" si="0"/>
        <v>0</v>
      </c>
      <c r="I8" s="14">
        <f t="shared" si="0"/>
        <v>0</v>
      </c>
      <c r="J8" s="11">
        <f t="shared" ref="J8:J9" si="6">B8+F8</f>
        <v>0</v>
      </c>
      <c r="K8" s="11">
        <f t="shared" ref="K8:K9" si="7">C8+G8</f>
        <v>0</v>
      </c>
      <c r="L8" s="11">
        <f t="shared" ref="L8:L9" si="8">D8+H8</f>
        <v>0</v>
      </c>
      <c r="M8" s="11">
        <f t="shared" ref="M8:M9" si="9">E8+I8</f>
        <v>0</v>
      </c>
    </row>
    <row r="9" spans="1:13" x14ac:dyDescent="0.3">
      <c r="A9" s="2" t="s">
        <v>9</v>
      </c>
      <c r="B9" s="11">
        <v>-69739</v>
      </c>
      <c r="C9" s="11">
        <v>-69739</v>
      </c>
      <c r="D9" s="11">
        <v>-69739</v>
      </c>
      <c r="E9" s="11">
        <v>-69739</v>
      </c>
      <c r="F9" s="12">
        <f t="shared" si="0"/>
        <v>0</v>
      </c>
      <c r="G9" s="13">
        <f t="shared" si="0"/>
        <v>0</v>
      </c>
      <c r="H9" s="13">
        <f t="shared" si="0"/>
        <v>0</v>
      </c>
      <c r="I9" s="14">
        <f t="shared" si="0"/>
        <v>0</v>
      </c>
      <c r="J9" s="11">
        <f t="shared" si="6"/>
        <v>-69739</v>
      </c>
      <c r="K9" s="11">
        <f t="shared" si="7"/>
        <v>-69739</v>
      </c>
      <c r="L9" s="11">
        <f t="shared" si="8"/>
        <v>-69739</v>
      </c>
      <c r="M9" s="11">
        <f t="shared" si="9"/>
        <v>-69739</v>
      </c>
    </row>
    <row r="10" spans="1:13" x14ac:dyDescent="0.3">
      <c r="A10" s="2" t="s">
        <v>10</v>
      </c>
      <c r="B10" s="11">
        <v>-129856</v>
      </c>
      <c r="C10" s="11">
        <v>-130254</v>
      </c>
      <c r="D10" s="11">
        <v>-130433</v>
      </c>
      <c r="E10" s="11">
        <v>-130466</v>
      </c>
      <c r="F10" s="12">
        <f t="shared" si="0"/>
        <v>0</v>
      </c>
      <c r="G10" s="13">
        <f t="shared" si="0"/>
        <v>0</v>
      </c>
      <c r="H10" s="13">
        <f t="shared" si="0"/>
        <v>0</v>
      </c>
      <c r="I10" s="14">
        <f t="shared" si="0"/>
        <v>0</v>
      </c>
      <c r="J10" s="11">
        <f t="shared" si="2"/>
        <v>-129856</v>
      </c>
      <c r="K10" s="11">
        <f t="shared" si="3"/>
        <v>-130254</v>
      </c>
      <c r="L10" s="11">
        <f t="shared" si="4"/>
        <v>-130433</v>
      </c>
      <c r="M10" s="11">
        <f t="shared" si="5"/>
        <v>-130466</v>
      </c>
    </row>
    <row r="11" spans="1:13" x14ac:dyDescent="0.3">
      <c r="A11" s="2" t="s">
        <v>11</v>
      </c>
      <c r="B11" s="11">
        <v>-30171</v>
      </c>
      <c r="C11" s="11">
        <v>-30171</v>
      </c>
      <c r="D11" s="11">
        <v>-30171</v>
      </c>
      <c r="E11" s="11">
        <v>-30171</v>
      </c>
      <c r="F11" s="12">
        <f t="shared" si="0"/>
        <v>0</v>
      </c>
      <c r="G11" s="13">
        <f t="shared" si="0"/>
        <v>0</v>
      </c>
      <c r="H11" s="13">
        <f t="shared" si="0"/>
        <v>0</v>
      </c>
      <c r="I11" s="14">
        <f t="shared" si="0"/>
        <v>0</v>
      </c>
      <c r="J11" s="11">
        <f t="shared" si="2"/>
        <v>-30171</v>
      </c>
      <c r="K11" s="11">
        <f t="shared" si="3"/>
        <v>-30171</v>
      </c>
      <c r="L11" s="11">
        <f t="shared" si="4"/>
        <v>-30171</v>
      </c>
      <c r="M11" s="11">
        <f t="shared" si="5"/>
        <v>-30171</v>
      </c>
    </row>
    <row r="12" spans="1:13" x14ac:dyDescent="0.3">
      <c r="A12" s="2" t="s">
        <v>12</v>
      </c>
      <c r="B12" s="11">
        <v>-120225</v>
      </c>
      <c r="C12" s="11">
        <v>-121969</v>
      </c>
      <c r="D12" s="11">
        <v>-123499</v>
      </c>
      <c r="E12" s="11">
        <v>-126177</v>
      </c>
      <c r="F12" s="12">
        <f t="shared" si="0"/>
        <v>0</v>
      </c>
      <c r="G12" s="13">
        <f t="shared" si="0"/>
        <v>0</v>
      </c>
      <c r="H12" s="13">
        <f t="shared" si="0"/>
        <v>0</v>
      </c>
      <c r="I12" s="14">
        <f t="shared" si="0"/>
        <v>0</v>
      </c>
      <c r="J12" s="11">
        <f t="shared" si="2"/>
        <v>-120225</v>
      </c>
      <c r="K12" s="11">
        <f t="shared" si="3"/>
        <v>-121969</v>
      </c>
      <c r="L12" s="11">
        <f t="shared" si="4"/>
        <v>-123499</v>
      </c>
      <c r="M12" s="11">
        <f t="shared" si="5"/>
        <v>-126177</v>
      </c>
    </row>
    <row r="13" spans="1:13" x14ac:dyDescent="0.3">
      <c r="A13" s="35" t="s">
        <v>13</v>
      </c>
      <c r="B13" s="48">
        <f>SUM(B5:B12)+1</f>
        <v>-1317437</v>
      </c>
      <c r="C13" s="48">
        <f>SUM(C5:C12)+1</f>
        <v>-1322803</v>
      </c>
      <c r="D13" s="48">
        <f>SUM(D5:D12)+1</f>
        <v>-1328610</v>
      </c>
      <c r="E13" s="48">
        <f>SUM(E5:E12)+1</f>
        <v>-1333278</v>
      </c>
      <c r="F13" s="38">
        <f t="shared" ref="F13:I13" si="10">SUM(F5:F12)</f>
        <v>0</v>
      </c>
      <c r="G13" s="39">
        <f t="shared" si="10"/>
        <v>0</v>
      </c>
      <c r="H13" s="39">
        <f t="shared" si="10"/>
        <v>0</v>
      </c>
      <c r="I13" s="40">
        <f t="shared" si="10"/>
        <v>0</v>
      </c>
      <c r="J13" s="39">
        <f>SUM(J5:J12)+1</f>
        <v>-1317437</v>
      </c>
      <c r="K13" s="39">
        <f>SUM(K5:K12)+1</f>
        <v>-1322803</v>
      </c>
      <c r="L13" s="39">
        <f>SUM(L5:L12)+1</f>
        <v>-1328610</v>
      </c>
      <c r="M13" s="39">
        <f>SUM(M5:M12)+1</f>
        <v>-1333278</v>
      </c>
    </row>
    <row r="14" spans="1:13" x14ac:dyDescent="0.3">
      <c r="B14" s="11"/>
      <c r="C14" s="11"/>
      <c r="D14" s="11"/>
      <c r="E14" s="11"/>
      <c r="F14" s="16"/>
      <c r="G14" s="15"/>
      <c r="H14" s="15"/>
      <c r="I14" s="17"/>
      <c r="J14" s="15"/>
      <c r="K14" s="15"/>
      <c r="L14" s="15"/>
      <c r="M14" s="15"/>
    </row>
    <row r="15" spans="1:13" x14ac:dyDescent="0.3">
      <c r="A15" s="2" t="s">
        <v>14</v>
      </c>
      <c r="B15" s="11">
        <v>653423</v>
      </c>
      <c r="C15" s="11">
        <v>662062</v>
      </c>
      <c r="D15" s="11">
        <v>659734</v>
      </c>
      <c r="E15" s="11">
        <v>658723</v>
      </c>
      <c r="F15" s="12">
        <f t="shared" ref="F15:I19" si="11">SUMIF($B:$B,$A15,F:F)</f>
        <v>0</v>
      </c>
      <c r="G15" s="13">
        <f t="shared" si="11"/>
        <v>0</v>
      </c>
      <c r="H15" s="13">
        <f t="shared" si="11"/>
        <v>0</v>
      </c>
      <c r="I15" s="14">
        <f t="shared" si="11"/>
        <v>0</v>
      </c>
      <c r="J15" s="11">
        <f>B15+F15</f>
        <v>653423</v>
      </c>
      <c r="K15" s="11">
        <f t="shared" ref="K15:K19" si="12">C15+G15</f>
        <v>662062</v>
      </c>
      <c r="L15" s="11">
        <f t="shared" ref="L15:L19" si="13">D15+H15</f>
        <v>659734</v>
      </c>
      <c r="M15" s="11">
        <f t="shared" ref="M15:M19" si="14">E15+I15</f>
        <v>658723</v>
      </c>
    </row>
    <row r="16" spans="1:13" x14ac:dyDescent="0.3">
      <c r="A16" s="2" t="s">
        <v>15</v>
      </c>
      <c r="B16" s="11">
        <v>185667</v>
      </c>
      <c r="C16" s="11">
        <v>188412</v>
      </c>
      <c r="D16" s="11">
        <v>187680</v>
      </c>
      <c r="E16" s="11">
        <v>187359</v>
      </c>
      <c r="F16" s="12">
        <f t="shared" si="11"/>
        <v>0</v>
      </c>
      <c r="G16" s="13">
        <f t="shared" si="11"/>
        <v>0</v>
      </c>
      <c r="H16" s="13">
        <f t="shared" si="11"/>
        <v>0</v>
      </c>
      <c r="I16" s="14">
        <f t="shared" si="11"/>
        <v>0</v>
      </c>
      <c r="J16" s="11">
        <f>B16+F16</f>
        <v>185667</v>
      </c>
      <c r="K16" s="11">
        <f t="shared" si="12"/>
        <v>188412</v>
      </c>
      <c r="L16" s="11">
        <f t="shared" si="13"/>
        <v>187680</v>
      </c>
      <c r="M16" s="11">
        <f t="shared" si="14"/>
        <v>187359</v>
      </c>
    </row>
    <row r="17" spans="1:13" x14ac:dyDescent="0.3">
      <c r="A17" s="2" t="s">
        <v>16</v>
      </c>
      <c r="B17" s="11">
        <v>294995</v>
      </c>
      <c r="C17" s="11">
        <v>297927</v>
      </c>
      <c r="D17" s="11">
        <v>299562</v>
      </c>
      <c r="E17" s="11">
        <v>301022</v>
      </c>
      <c r="F17" s="12">
        <f t="shared" si="11"/>
        <v>0</v>
      </c>
      <c r="G17" s="13">
        <f t="shared" si="11"/>
        <v>0</v>
      </c>
      <c r="H17" s="13">
        <f t="shared" si="11"/>
        <v>0</v>
      </c>
      <c r="I17" s="14">
        <f t="shared" si="11"/>
        <v>0</v>
      </c>
      <c r="J17" s="11">
        <f>B17+F17</f>
        <v>294995</v>
      </c>
      <c r="K17" s="11">
        <f t="shared" si="12"/>
        <v>297927</v>
      </c>
      <c r="L17" s="11">
        <f t="shared" si="13"/>
        <v>299562</v>
      </c>
      <c r="M17" s="11">
        <f t="shared" si="14"/>
        <v>301022</v>
      </c>
    </row>
    <row r="18" spans="1:13" x14ac:dyDescent="0.3">
      <c r="A18" s="2" t="s">
        <v>17</v>
      </c>
      <c r="B18" s="11">
        <v>90153</v>
      </c>
      <c r="C18" s="11">
        <v>89801</v>
      </c>
      <c r="D18" s="11">
        <v>89980</v>
      </c>
      <c r="E18" s="11">
        <v>90013</v>
      </c>
      <c r="F18" s="12">
        <f t="shared" si="11"/>
        <v>0</v>
      </c>
      <c r="G18" s="13">
        <f t="shared" si="11"/>
        <v>0</v>
      </c>
      <c r="H18" s="13">
        <f t="shared" si="11"/>
        <v>0</v>
      </c>
      <c r="I18" s="14">
        <f t="shared" si="11"/>
        <v>0</v>
      </c>
      <c r="J18" s="11">
        <f>B18+F18</f>
        <v>90153</v>
      </c>
      <c r="K18" s="11">
        <f t="shared" si="12"/>
        <v>89801</v>
      </c>
      <c r="L18" s="11">
        <f t="shared" si="13"/>
        <v>89980</v>
      </c>
      <c r="M18" s="11">
        <f t="shared" si="14"/>
        <v>90013</v>
      </c>
    </row>
    <row r="19" spans="1:13" x14ac:dyDescent="0.3">
      <c r="A19" s="2" t="s">
        <v>18</v>
      </c>
      <c r="B19" s="11">
        <v>67000</v>
      </c>
      <c r="C19" s="11">
        <v>67000</v>
      </c>
      <c r="D19" s="11">
        <v>67000</v>
      </c>
      <c r="E19" s="11">
        <v>67000</v>
      </c>
      <c r="F19" s="12">
        <f t="shared" si="11"/>
        <v>0</v>
      </c>
      <c r="G19" s="13">
        <f t="shared" si="11"/>
        <v>0</v>
      </c>
      <c r="H19" s="13">
        <f t="shared" si="11"/>
        <v>0</v>
      </c>
      <c r="I19" s="14">
        <f t="shared" si="11"/>
        <v>0</v>
      </c>
      <c r="J19" s="11">
        <f>B19+F19</f>
        <v>67000</v>
      </c>
      <c r="K19" s="11">
        <f t="shared" si="12"/>
        <v>67000</v>
      </c>
      <c r="L19" s="11">
        <f t="shared" si="13"/>
        <v>67000</v>
      </c>
      <c r="M19" s="11">
        <f t="shared" si="14"/>
        <v>67000</v>
      </c>
    </row>
    <row r="20" spans="1:13" x14ac:dyDescent="0.3">
      <c r="A20" s="35" t="s">
        <v>19</v>
      </c>
      <c r="B20" s="48">
        <f>SUM(B15:B19)+1</f>
        <v>1291239</v>
      </c>
      <c r="C20" s="48">
        <f>SUM(C15:C19)+1</f>
        <v>1305203</v>
      </c>
      <c r="D20" s="48">
        <f>SUM(D15:D19)+1</f>
        <v>1303957</v>
      </c>
      <c r="E20" s="48">
        <f>SUM(E15:E19)+1</f>
        <v>1304118</v>
      </c>
      <c r="F20" s="38">
        <f>SUM(F15:F19)</f>
        <v>0</v>
      </c>
      <c r="G20" s="39">
        <f t="shared" ref="G20" si="15">SUM(G15:G19)</f>
        <v>0</v>
      </c>
      <c r="H20" s="39">
        <f t="shared" ref="H20" si="16">SUM(H15:H19)</f>
        <v>0</v>
      </c>
      <c r="I20" s="40">
        <f t="shared" ref="I20" si="17">SUM(I15:I19)</f>
        <v>0</v>
      </c>
      <c r="J20" s="39">
        <f>SUM(J15:J19)+1</f>
        <v>1291239</v>
      </c>
      <c r="K20" s="39">
        <f>SUM(K15:K19)+1</f>
        <v>1305203</v>
      </c>
      <c r="L20" s="39">
        <f>SUM(L15:L19)+1</f>
        <v>1303957</v>
      </c>
      <c r="M20" s="39">
        <f>SUM(M15:M19)+1</f>
        <v>1304118</v>
      </c>
    </row>
    <row r="21" spans="1:13" x14ac:dyDescent="0.3">
      <c r="A21" s="37" t="s">
        <v>20</v>
      </c>
      <c r="B21" s="49">
        <f>B20+B13</f>
        <v>-26198</v>
      </c>
      <c r="C21" s="49">
        <f t="shared" ref="C21:E21" si="18">C20+C13</f>
        <v>-17600</v>
      </c>
      <c r="D21" s="49">
        <f t="shared" si="18"/>
        <v>-24653</v>
      </c>
      <c r="E21" s="49">
        <f t="shared" si="18"/>
        <v>-29160</v>
      </c>
      <c r="F21" s="41">
        <f>F20+F13</f>
        <v>0</v>
      </c>
      <c r="G21" s="42">
        <f t="shared" ref="G21" si="19">G20+G13</f>
        <v>0</v>
      </c>
      <c r="H21" s="42">
        <f t="shared" ref="H21" si="20">H20+H13</f>
        <v>0</v>
      </c>
      <c r="I21" s="43">
        <f t="shared" ref="I21" si="21">I20+I13</f>
        <v>0</v>
      </c>
      <c r="J21" s="42">
        <f>J20+J13</f>
        <v>-26198</v>
      </c>
      <c r="K21" s="42">
        <f t="shared" ref="K21" si="22">K20+K13</f>
        <v>-17600</v>
      </c>
      <c r="L21" s="42">
        <f t="shared" ref="L21" si="23">L20+L13</f>
        <v>-24653</v>
      </c>
      <c r="M21" s="42">
        <f t="shared" ref="M21" si="24">M20+M13</f>
        <v>-29160</v>
      </c>
    </row>
    <row r="22" spans="1:13" x14ac:dyDescent="0.3">
      <c r="B22" s="11"/>
      <c r="C22" s="11"/>
      <c r="D22" s="11"/>
      <c r="E22" s="11"/>
      <c r="F22" s="16"/>
      <c r="G22" s="15"/>
      <c r="H22" s="15"/>
      <c r="I22" s="17"/>
      <c r="J22" s="15"/>
      <c r="K22" s="15"/>
      <c r="L22" s="15"/>
      <c r="M22" s="15"/>
    </row>
    <row r="23" spans="1:13" x14ac:dyDescent="0.3">
      <c r="A23" s="2" t="s">
        <v>21</v>
      </c>
      <c r="B23" s="11">
        <v>-22400</v>
      </c>
      <c r="C23" s="11">
        <v>-22400</v>
      </c>
      <c r="D23" s="11">
        <v>-22400</v>
      </c>
      <c r="E23" s="11">
        <v>-22400</v>
      </c>
      <c r="F23" s="12">
        <f t="shared" ref="F23:I27" si="25">SUMIF($B:$B,$A23,F:F)</f>
        <v>0</v>
      </c>
      <c r="G23" s="13">
        <f t="shared" si="25"/>
        <v>0</v>
      </c>
      <c r="H23" s="13">
        <f t="shared" si="25"/>
        <v>0</v>
      </c>
      <c r="I23" s="14">
        <f t="shared" si="25"/>
        <v>0</v>
      </c>
      <c r="J23" s="11">
        <f>B23+F23</f>
        <v>-22400</v>
      </c>
      <c r="K23" s="11">
        <f t="shared" ref="K23:K27" si="26">C23+G23</f>
        <v>-22400</v>
      </c>
      <c r="L23" s="11">
        <f t="shared" ref="L23:L27" si="27">D23+H23</f>
        <v>-22400</v>
      </c>
      <c r="M23" s="11">
        <f t="shared" ref="M23:M27" si="28">E23+I23</f>
        <v>-22400</v>
      </c>
    </row>
    <row r="24" spans="1:13" x14ac:dyDescent="0.3">
      <c r="A24" s="2" t="s">
        <v>22</v>
      </c>
      <c r="B24" s="11">
        <v>-25576</v>
      </c>
      <c r="C24" s="11">
        <v>-25576</v>
      </c>
      <c r="D24" s="11">
        <v>-25576</v>
      </c>
      <c r="E24" s="11">
        <v>-25576</v>
      </c>
      <c r="F24" s="12">
        <f t="shared" si="25"/>
        <v>0</v>
      </c>
      <c r="G24" s="13">
        <f t="shared" si="25"/>
        <v>0</v>
      </c>
      <c r="H24" s="13">
        <f t="shared" si="25"/>
        <v>0</v>
      </c>
      <c r="I24" s="14">
        <f t="shared" si="25"/>
        <v>0</v>
      </c>
      <c r="J24" s="11">
        <f>B24+F24</f>
        <v>-25576</v>
      </c>
      <c r="K24" s="11">
        <f t="shared" si="26"/>
        <v>-25576</v>
      </c>
      <c r="L24" s="11">
        <f t="shared" si="27"/>
        <v>-25576</v>
      </c>
      <c r="M24" s="11">
        <f t="shared" si="28"/>
        <v>-25576</v>
      </c>
    </row>
    <row r="25" spans="1:13" x14ac:dyDescent="0.3">
      <c r="A25" s="2" t="s">
        <v>23</v>
      </c>
      <c r="B25" s="11">
        <v>0</v>
      </c>
      <c r="C25" s="11">
        <v>0</v>
      </c>
      <c r="D25" s="11">
        <v>0</v>
      </c>
      <c r="E25" s="11">
        <v>0</v>
      </c>
      <c r="F25" s="12">
        <f t="shared" si="25"/>
        <v>0</v>
      </c>
      <c r="G25" s="13">
        <f t="shared" si="25"/>
        <v>0</v>
      </c>
      <c r="H25" s="13">
        <f t="shared" si="25"/>
        <v>0</v>
      </c>
      <c r="I25" s="14">
        <f t="shared" si="25"/>
        <v>0</v>
      </c>
      <c r="J25" s="11">
        <f>B25+F25</f>
        <v>0</v>
      </c>
      <c r="K25" s="11">
        <f t="shared" si="26"/>
        <v>0</v>
      </c>
      <c r="L25" s="11">
        <f t="shared" si="27"/>
        <v>0</v>
      </c>
      <c r="M25" s="11">
        <f t="shared" si="28"/>
        <v>0</v>
      </c>
    </row>
    <row r="26" spans="1:13" x14ac:dyDescent="0.3">
      <c r="A26" s="2" t="s">
        <v>24</v>
      </c>
      <c r="B26" s="11">
        <v>60571</v>
      </c>
      <c r="C26" s="11">
        <v>60571</v>
      </c>
      <c r="D26" s="11">
        <v>60571</v>
      </c>
      <c r="E26" s="11">
        <v>60571</v>
      </c>
      <c r="F26" s="12">
        <f t="shared" si="25"/>
        <v>0</v>
      </c>
      <c r="G26" s="13">
        <f t="shared" si="25"/>
        <v>0</v>
      </c>
      <c r="H26" s="13">
        <f t="shared" si="25"/>
        <v>0</v>
      </c>
      <c r="I26" s="14">
        <f t="shared" si="25"/>
        <v>0</v>
      </c>
      <c r="J26" s="11">
        <f>B26+F26</f>
        <v>60571</v>
      </c>
      <c r="K26" s="11">
        <f t="shared" si="26"/>
        <v>60571</v>
      </c>
      <c r="L26" s="11">
        <f t="shared" si="27"/>
        <v>60571</v>
      </c>
      <c r="M26" s="11">
        <f t="shared" si="28"/>
        <v>60571</v>
      </c>
    </row>
    <row r="27" spans="1:13" x14ac:dyDescent="0.3">
      <c r="A27" s="2" t="s">
        <v>25</v>
      </c>
      <c r="B27" s="11">
        <v>44986</v>
      </c>
      <c r="C27" s="11">
        <v>44986</v>
      </c>
      <c r="D27" s="11">
        <v>44986</v>
      </c>
      <c r="E27" s="11">
        <v>44986</v>
      </c>
      <c r="F27" s="12">
        <f t="shared" si="25"/>
        <v>0</v>
      </c>
      <c r="G27" s="13">
        <f t="shared" si="25"/>
        <v>0</v>
      </c>
      <c r="H27" s="13">
        <f t="shared" si="25"/>
        <v>0</v>
      </c>
      <c r="I27" s="14">
        <f t="shared" si="25"/>
        <v>0</v>
      </c>
      <c r="J27" s="11">
        <f>B27+F27</f>
        <v>44986</v>
      </c>
      <c r="K27" s="11">
        <f t="shared" si="26"/>
        <v>44986</v>
      </c>
      <c r="L27" s="11">
        <f t="shared" si="27"/>
        <v>44986</v>
      </c>
      <c r="M27" s="11">
        <f t="shared" si="28"/>
        <v>44986</v>
      </c>
    </row>
    <row r="28" spans="1:13" x14ac:dyDescent="0.3">
      <c r="A28" s="35" t="s">
        <v>26</v>
      </c>
      <c r="B28" s="48">
        <f>SUM(B23:B27)</f>
        <v>57581</v>
      </c>
      <c r="C28" s="48">
        <f t="shared" ref="C28:E28" si="29">SUM(C23:C27)</f>
        <v>57581</v>
      </c>
      <c r="D28" s="48">
        <f t="shared" si="29"/>
        <v>57581</v>
      </c>
      <c r="E28" s="48">
        <f t="shared" si="29"/>
        <v>57581</v>
      </c>
      <c r="F28" s="38">
        <f>SUM(F23:F27)</f>
        <v>0</v>
      </c>
      <c r="G28" s="39">
        <f t="shared" ref="G28" si="30">SUM(G23:G27)</f>
        <v>0</v>
      </c>
      <c r="H28" s="39">
        <f t="shared" ref="H28" si="31">SUM(H23:H27)</f>
        <v>0</v>
      </c>
      <c r="I28" s="40">
        <f t="shared" ref="I28" si="32">SUM(I23:I27)</f>
        <v>0</v>
      </c>
      <c r="J28" s="39">
        <f>SUM(J23:J27)</f>
        <v>57581</v>
      </c>
      <c r="K28" s="39">
        <f t="shared" ref="K28" si="33">SUM(K23:K27)</f>
        <v>57581</v>
      </c>
      <c r="L28" s="39">
        <f t="shared" ref="L28" si="34">SUM(L23:L27)</f>
        <v>57581</v>
      </c>
      <c r="M28" s="39">
        <f t="shared" ref="M28" si="35">SUM(M23:M27)</f>
        <v>57581</v>
      </c>
    </row>
    <row r="29" spans="1:13" x14ac:dyDescent="0.3">
      <c r="A29" s="2" t="s">
        <v>27</v>
      </c>
      <c r="B29" s="11">
        <v>-67000</v>
      </c>
      <c r="C29" s="11">
        <v>-67000</v>
      </c>
      <c r="D29" s="11">
        <v>-67000</v>
      </c>
      <c r="E29" s="11">
        <v>-67000</v>
      </c>
      <c r="F29" s="12">
        <f>SUMIF($B:$B,$A29,F:F)</f>
        <v>0</v>
      </c>
      <c r="G29" s="13">
        <f>SUMIF($B:$B,$A29,G:G)</f>
        <v>0</v>
      </c>
      <c r="H29" s="13">
        <f>SUMIF($B:$B,$A29,H:H)</f>
        <v>0</v>
      </c>
      <c r="I29" s="14">
        <f>SUMIF($B:$B,$A29,I:I)</f>
        <v>0</v>
      </c>
      <c r="J29" s="11">
        <f>B29+F29</f>
        <v>-67000</v>
      </c>
      <c r="K29" s="11">
        <f t="shared" ref="K29" si="36">C29+G29</f>
        <v>-67000</v>
      </c>
      <c r="L29" s="11">
        <f t="shared" ref="L29" si="37">D29+H29</f>
        <v>-67000</v>
      </c>
      <c r="M29" s="11">
        <f t="shared" ref="M29" si="38">E29+I29</f>
        <v>-67000</v>
      </c>
    </row>
    <row r="30" spans="1:13" x14ac:dyDescent="0.3">
      <c r="A30" s="37" t="s">
        <v>28</v>
      </c>
      <c r="B30" s="49">
        <f>B29+B28+B21</f>
        <v>-35617</v>
      </c>
      <c r="C30" s="49">
        <f>C29+C28+C21</f>
        <v>-27019</v>
      </c>
      <c r="D30" s="49">
        <f t="shared" ref="D30:E30" si="39">D29+D28+D21</f>
        <v>-34072</v>
      </c>
      <c r="E30" s="49">
        <f t="shared" si="39"/>
        <v>-38579</v>
      </c>
      <c r="F30" s="41">
        <f>F29+F28+F21</f>
        <v>0</v>
      </c>
      <c r="G30" s="42">
        <f t="shared" ref="G30" si="40">G29+G28+G21</f>
        <v>0</v>
      </c>
      <c r="H30" s="42">
        <f t="shared" ref="H30" si="41">H29+H28+H21</f>
        <v>0</v>
      </c>
      <c r="I30" s="43">
        <f t="shared" ref="I30" si="42">I29+I28+I21</f>
        <v>0</v>
      </c>
      <c r="J30" s="42">
        <f>J29+J28+J21</f>
        <v>-35617</v>
      </c>
      <c r="K30" s="42">
        <f t="shared" ref="K30" si="43">K29+K28+K21</f>
        <v>-27019</v>
      </c>
      <c r="L30" s="42">
        <f t="shared" ref="L30" si="44">L29+L28+L21</f>
        <v>-34072</v>
      </c>
      <c r="M30" s="42">
        <f t="shared" ref="M30" si="45">M29+M28+M21</f>
        <v>-38579</v>
      </c>
    </row>
    <row r="31" spans="1:13" x14ac:dyDescent="0.3">
      <c r="A31" s="37" t="s">
        <v>29</v>
      </c>
      <c r="B31" s="89">
        <f>B30/B13</f>
        <v>2.7035068849592048E-2</v>
      </c>
      <c r="C31" s="89">
        <f t="shared" ref="C31:E31" si="46">C30/C13</f>
        <v>2.0425566013986967E-2</v>
      </c>
      <c r="D31" s="89">
        <f t="shared" si="46"/>
        <v>2.5644846870037107E-2</v>
      </c>
      <c r="E31" s="89">
        <f t="shared" si="46"/>
        <v>2.8935450821209081E-2</v>
      </c>
      <c r="F31" s="44"/>
      <c r="G31" s="45"/>
      <c r="H31" s="45"/>
      <c r="I31" s="46"/>
      <c r="J31" s="90">
        <f>J30/J13</f>
        <v>2.7035068849592048E-2</v>
      </c>
      <c r="K31" s="90">
        <f t="shared" ref="K31" si="47">K30/K13</f>
        <v>2.0425566013986967E-2</v>
      </c>
      <c r="L31" s="90">
        <f t="shared" ref="L31" si="48">L30/L13</f>
        <v>2.5644846870037107E-2</v>
      </c>
      <c r="M31" s="90">
        <f t="shared" ref="M31" si="49">M30/M13</f>
        <v>2.8935450821209081E-2</v>
      </c>
    </row>
    <row r="32" spans="1:13" x14ac:dyDescent="0.3">
      <c r="A32" s="1" t="s">
        <v>30</v>
      </c>
      <c r="B32" s="3"/>
      <c r="C32" s="3"/>
      <c r="F32" s="16"/>
      <c r="G32" s="15"/>
      <c r="H32" s="15"/>
      <c r="I32" s="17"/>
      <c r="J32" s="15"/>
      <c r="K32" s="15"/>
      <c r="L32" s="15"/>
      <c r="M32" s="15"/>
    </row>
    <row r="33" spans="1:21" x14ac:dyDescent="0.3">
      <c r="A33" s="2" t="s">
        <v>31</v>
      </c>
      <c r="B33" s="11">
        <v>14319</v>
      </c>
      <c r="C33" s="11">
        <v>8609</v>
      </c>
      <c r="D33" s="11">
        <v>17870</v>
      </c>
      <c r="E33" s="11">
        <v>23889</v>
      </c>
      <c r="F33" s="12">
        <f t="shared" ref="F33:I35" si="50">SUMIF($B:$B,$A33,F:F)</f>
        <v>0</v>
      </c>
      <c r="G33" s="13">
        <f t="shared" si="50"/>
        <v>0</v>
      </c>
      <c r="H33" s="13">
        <f t="shared" si="50"/>
        <v>0</v>
      </c>
      <c r="I33" s="14">
        <f t="shared" si="50"/>
        <v>0</v>
      </c>
      <c r="J33" s="11">
        <f>B33+F33</f>
        <v>14319</v>
      </c>
      <c r="K33" s="11">
        <f t="shared" ref="K33:K35" si="51">C33+G33</f>
        <v>8609</v>
      </c>
      <c r="L33" s="11">
        <f t="shared" ref="L33:L35" si="52">D33+H33</f>
        <v>17870</v>
      </c>
      <c r="M33" s="11">
        <f t="shared" ref="M33:M35" si="53">E33+I33</f>
        <v>23889</v>
      </c>
    </row>
    <row r="34" spans="1:21" x14ac:dyDescent="0.3">
      <c r="A34" s="2" t="s">
        <v>32</v>
      </c>
      <c r="B34" s="11">
        <f>3577-279</f>
        <v>3298</v>
      </c>
      <c r="C34" s="11">
        <f>483-73</f>
        <v>410</v>
      </c>
      <c r="D34" s="11">
        <f>-1797-1</f>
        <v>-1798</v>
      </c>
      <c r="E34" s="11">
        <f>-3341+31</f>
        <v>-3310</v>
      </c>
      <c r="F34" s="12">
        <f t="shared" si="50"/>
        <v>0</v>
      </c>
      <c r="G34" s="13">
        <f t="shared" si="50"/>
        <v>0</v>
      </c>
      <c r="H34" s="13">
        <f t="shared" si="50"/>
        <v>0</v>
      </c>
      <c r="I34" s="14">
        <f t="shared" si="50"/>
        <v>0</v>
      </c>
      <c r="J34" s="11">
        <f>B34+F34</f>
        <v>3298</v>
      </c>
      <c r="K34" s="11">
        <f t="shared" si="51"/>
        <v>410</v>
      </c>
      <c r="L34" s="11">
        <f t="shared" si="52"/>
        <v>-1798</v>
      </c>
      <c r="M34" s="11">
        <f t="shared" si="53"/>
        <v>-3310</v>
      </c>
    </row>
    <row r="35" spans="1:21" x14ac:dyDescent="0.3">
      <c r="A35" s="2" t="s">
        <v>33</v>
      </c>
      <c r="B35" s="11">
        <v>18000</v>
      </c>
      <c r="C35" s="11">
        <v>18000</v>
      </c>
      <c r="D35" s="11">
        <v>18000</v>
      </c>
      <c r="E35" s="11">
        <v>18000</v>
      </c>
      <c r="F35" s="12">
        <f t="shared" si="50"/>
        <v>0</v>
      </c>
      <c r="G35" s="13">
        <f t="shared" si="50"/>
        <v>0</v>
      </c>
      <c r="H35" s="13">
        <f t="shared" si="50"/>
        <v>0</v>
      </c>
      <c r="I35" s="14">
        <f t="shared" si="50"/>
        <v>0</v>
      </c>
      <c r="J35" s="11">
        <f>B35+F35</f>
        <v>18000</v>
      </c>
      <c r="K35" s="11">
        <f t="shared" si="51"/>
        <v>18000</v>
      </c>
      <c r="L35" s="11">
        <f t="shared" si="52"/>
        <v>18000</v>
      </c>
      <c r="M35" s="11">
        <f t="shared" si="53"/>
        <v>18000</v>
      </c>
    </row>
    <row r="36" spans="1:21" x14ac:dyDescent="0.3">
      <c r="A36" s="35" t="s">
        <v>34</v>
      </c>
      <c r="B36" s="48">
        <f>SUM(B33:B35)</f>
        <v>35617</v>
      </c>
      <c r="C36" s="48">
        <f t="shared" ref="C36:E36" si="54">SUM(C33:C35)</f>
        <v>27019</v>
      </c>
      <c r="D36" s="48">
        <f t="shared" si="54"/>
        <v>34072</v>
      </c>
      <c r="E36" s="48">
        <f t="shared" si="54"/>
        <v>38579</v>
      </c>
      <c r="F36" s="38">
        <f>SUM(F33:F35)</f>
        <v>0</v>
      </c>
      <c r="G36" s="39">
        <f t="shared" ref="G36" si="55">SUM(G33:G35)</f>
        <v>0</v>
      </c>
      <c r="H36" s="39">
        <f t="shared" ref="H36" si="56">SUM(H33:H35)</f>
        <v>0</v>
      </c>
      <c r="I36" s="40">
        <f t="shared" ref="I36" si="57">SUM(I33:I35)</f>
        <v>0</v>
      </c>
      <c r="J36" s="39">
        <f>SUM(J33:J35)</f>
        <v>35617</v>
      </c>
      <c r="K36" s="39">
        <f t="shared" ref="K36" si="58">SUM(K33:K35)</f>
        <v>27019</v>
      </c>
      <c r="L36" s="39">
        <f t="shared" ref="L36" si="59">SUM(L33:L35)</f>
        <v>34072</v>
      </c>
      <c r="M36" s="39">
        <f t="shared" ref="M36" si="60">SUM(M33:M35)</f>
        <v>38579</v>
      </c>
    </row>
    <row r="37" spans="1:21" x14ac:dyDescent="0.3">
      <c r="B37" s="11"/>
      <c r="C37" s="11"/>
      <c r="D37" s="11"/>
      <c r="E37" s="11"/>
      <c r="F37" s="16"/>
      <c r="G37" s="15"/>
      <c r="H37" s="15"/>
      <c r="I37" s="17"/>
      <c r="J37" s="15"/>
      <c r="K37" s="15"/>
      <c r="L37" s="15"/>
      <c r="M37" s="15"/>
    </row>
    <row r="38" spans="1:21" x14ac:dyDescent="0.3">
      <c r="A38" s="2" t="s">
        <v>35</v>
      </c>
      <c r="B38" s="11">
        <f>B36+B30</f>
        <v>0</v>
      </c>
      <c r="C38" s="11">
        <f t="shared" ref="C38:E38" si="61">C36+C30</f>
        <v>0</v>
      </c>
      <c r="D38" s="11">
        <f t="shared" si="61"/>
        <v>0</v>
      </c>
      <c r="E38" s="11">
        <f t="shared" si="61"/>
        <v>0</v>
      </c>
      <c r="F38" s="12">
        <f>F36+F30</f>
        <v>0</v>
      </c>
      <c r="G38" s="13">
        <f t="shared" ref="G38:I38" si="62">G36+G30</f>
        <v>0</v>
      </c>
      <c r="H38" s="13">
        <f t="shared" si="62"/>
        <v>0</v>
      </c>
      <c r="I38" s="14">
        <f t="shared" si="62"/>
        <v>0</v>
      </c>
      <c r="J38" s="11">
        <f>J36+J30</f>
        <v>0</v>
      </c>
      <c r="K38" s="11">
        <f t="shared" ref="K38:M38" si="63">K36+K30</f>
        <v>0</v>
      </c>
      <c r="L38" s="11">
        <f t="shared" si="63"/>
        <v>0</v>
      </c>
      <c r="M38" s="11">
        <f t="shared" si="63"/>
        <v>0</v>
      </c>
    </row>
    <row r="39" spans="1:21" x14ac:dyDescent="0.3">
      <c r="B39" s="3"/>
      <c r="C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x14ac:dyDescent="0.3">
      <c r="B40" s="3"/>
      <c r="C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x14ac:dyDescent="0.3">
      <c r="A41" s="2" t="s">
        <v>36</v>
      </c>
      <c r="B41" s="3"/>
      <c r="C41" s="3"/>
    </row>
    <row r="42" spans="1:21" x14ac:dyDescent="0.3">
      <c r="A42" s="2" t="s">
        <v>37</v>
      </c>
      <c r="B42" s="3"/>
      <c r="C42" s="3"/>
    </row>
    <row r="43" spans="1:21" x14ac:dyDescent="0.3">
      <c r="A43" s="2" t="s">
        <v>38</v>
      </c>
      <c r="B43" s="3"/>
      <c r="C43" s="3"/>
    </row>
    <row r="44" spans="1:21" x14ac:dyDescent="0.3">
      <c r="A44" s="2" t="s">
        <v>39</v>
      </c>
      <c r="B44" s="3"/>
      <c r="C44" s="3"/>
    </row>
    <row r="45" spans="1:21" x14ac:dyDescent="0.3">
      <c r="B45" s="3"/>
      <c r="C45" s="3"/>
      <c r="F45" s="19">
        <v>2026</v>
      </c>
      <c r="G45" s="19">
        <v>2027</v>
      </c>
      <c r="H45" s="19">
        <v>2028</v>
      </c>
      <c r="I45" s="19">
        <v>2029</v>
      </c>
    </row>
    <row r="46" spans="1:21" s="20" customFormat="1" ht="15" x14ac:dyDescent="0.35">
      <c r="A46" s="20" t="s">
        <v>40</v>
      </c>
      <c r="B46" s="115" t="s">
        <v>41</v>
      </c>
      <c r="C46" s="115"/>
      <c r="D46" s="115"/>
      <c r="E46" s="115"/>
      <c r="F46" s="116" t="s">
        <v>42</v>
      </c>
      <c r="G46" s="116"/>
      <c r="H46" s="116"/>
      <c r="I46" s="116"/>
    </row>
    <row r="47" spans="1:21" x14ac:dyDescent="0.3">
      <c r="A47" s="21"/>
      <c r="B47" s="110" t="s">
        <v>33</v>
      </c>
      <c r="C47" s="111"/>
      <c r="D47" s="111"/>
      <c r="E47" s="111"/>
      <c r="F47" s="18">
        <f>SUM(F48:F87)*-1</f>
        <v>0</v>
      </c>
      <c r="G47" s="18">
        <f>SUM(G48:G87)*-1</f>
        <v>0</v>
      </c>
      <c r="H47" s="18">
        <f>SUM(H48:H87)*-1</f>
        <v>0</v>
      </c>
      <c r="I47" s="18">
        <f>SUM(I48:I87)*-1</f>
        <v>0</v>
      </c>
    </row>
    <row r="48" spans="1:21" x14ac:dyDescent="0.3">
      <c r="A48" s="21"/>
      <c r="B48" s="110" t="s">
        <v>25</v>
      </c>
      <c r="C48" s="111"/>
      <c r="D48" s="111"/>
      <c r="E48" s="117"/>
      <c r="F48" s="22">
        <f>'NYE INVESTERINGSTILTAK'!F$41/12*8/25*-1</f>
        <v>0</v>
      </c>
      <c r="G48" s="18">
        <f>('NYE INVESTERINGSTILTAK'!$F$41+('NYE INVESTERINGSTILTAK'!G$41/12*8))/25*-1</f>
        <v>0</v>
      </c>
      <c r="H48" s="18">
        <f>('NYE INVESTERINGSTILTAK'!F$41+'NYE INVESTERINGSTILTAK'!G$41+('NYE INVESTERINGSTILTAK'!H$41/12*8))/25*-1</f>
        <v>0</v>
      </c>
      <c r="I48" s="18">
        <f>('NYE INVESTERINGSTILTAK'!F$41+'NYE INVESTERINGSTILTAK'!G$41+'NYE INVESTERINGSTILTAK'!H$41+('NYE INVESTERINGSTILTAK'!I$41/12*8))/25*-1</f>
        <v>0</v>
      </c>
    </row>
    <row r="49" spans="1:21" x14ac:dyDescent="0.3">
      <c r="A49" s="21"/>
      <c r="B49" s="110" t="s">
        <v>24</v>
      </c>
      <c r="C49" s="111"/>
      <c r="D49" s="111"/>
      <c r="E49" s="111"/>
      <c r="F49" s="18">
        <f>'NYE INVESTERINGSTILTAK'!F$41/12*8*BUDSJETTRENTE2022*-1</f>
        <v>0</v>
      </c>
      <c r="G49" s="18">
        <f>('NYE INVESTERINGSTILTAK'!$F$41+('NYE INVESTERINGSTILTAK'!G$41/12*8))*BUDSJETTRENTE2023*-1</f>
        <v>0</v>
      </c>
      <c r="H49" s="18">
        <f>('NYE INVESTERINGSTILTAK'!F$41+'NYE INVESTERINGSTILTAK'!G$41+('NYE INVESTERINGSTILTAK'!H$41/12*8))*BUDSJETTRENTE2024*-1</f>
        <v>0</v>
      </c>
      <c r="I49" s="18">
        <f>('NYE INVESTERINGSTILTAK'!F$41+'NYE INVESTERINGSTILTAK'!G$41+'NYE INVESTERINGSTILTAK'!H$41+('NYE INVESTERINGSTILTAK'!I$41/12*8))*BUDSJETTRENTE2024*-1</f>
        <v>0</v>
      </c>
    </row>
    <row r="50" spans="1:21" x14ac:dyDescent="0.3">
      <c r="A50" s="32"/>
      <c r="B50" s="112"/>
      <c r="C50" s="113"/>
      <c r="D50" s="113"/>
      <c r="E50" s="114"/>
      <c r="F50" s="33"/>
      <c r="G50" s="33" t="str">
        <f t="shared" ref="G50" si="64">IFERROR(IF($B49="Lønnsutgifter",ROUND(G49*0.32834324315,0),""),"")</f>
        <v/>
      </c>
      <c r="H50" s="33"/>
      <c r="I50" s="33"/>
      <c r="N50" s="3"/>
      <c r="O50" s="3"/>
      <c r="P50" s="3"/>
      <c r="Q50" s="3"/>
      <c r="R50" s="3"/>
      <c r="S50" s="3"/>
      <c r="T50" s="3"/>
      <c r="U50" s="3"/>
    </row>
    <row r="51" spans="1:21" x14ac:dyDescent="0.3">
      <c r="A51" s="32"/>
      <c r="B51" s="112"/>
      <c r="C51" s="113"/>
      <c r="D51" s="113"/>
      <c r="E51" s="114"/>
      <c r="F51" s="33"/>
      <c r="G51" s="33" t="str">
        <f t="shared" ref="G51" si="65">IFERROR(IF($B50="Lønnsutgifter",ROUND(G50*0.32834324315,0),""),"")</f>
        <v/>
      </c>
      <c r="H51" s="33" t="str">
        <f t="shared" ref="H51:I51" si="66">IFERROR(IF($B50="Lønnsutgifter",ROUND(H50*0.32834324315,0),""),"")</f>
        <v/>
      </c>
      <c r="I51" s="33" t="str">
        <f t="shared" si="66"/>
        <v/>
      </c>
      <c r="N51" s="3"/>
      <c r="O51" s="3"/>
      <c r="P51" s="3"/>
      <c r="Q51" s="3"/>
      <c r="R51" s="3"/>
      <c r="S51" s="3"/>
      <c r="T51" s="3"/>
      <c r="U51" s="3"/>
    </row>
    <row r="52" spans="1:21" x14ac:dyDescent="0.3">
      <c r="A52" s="32" t="str">
        <f t="shared" ref="A52:A58" si="67">IF(B51="Lønnsutgifter",A51&amp;", "&amp;LOWER(B52),"")</f>
        <v/>
      </c>
      <c r="B52" s="112"/>
      <c r="C52" s="113"/>
      <c r="D52" s="113"/>
      <c r="E52" s="114"/>
      <c r="F52" s="33" t="str">
        <f t="shared" ref="F52:G52" si="68">IFERROR(IF($B51="Lønnsutgifter",ROUND(F51*0.32834324315,0),""),"")</f>
        <v/>
      </c>
      <c r="G52" s="33" t="str">
        <f t="shared" si="68"/>
        <v/>
      </c>
      <c r="H52" s="33" t="str">
        <f t="shared" ref="F52:I55" si="69">IFERROR(IF($B51="Lønnsutgifter",ROUND(H51*0.32834324315,0),""),"")</f>
        <v/>
      </c>
      <c r="I52" s="33" t="str">
        <f t="shared" si="69"/>
        <v/>
      </c>
    </row>
    <row r="53" spans="1:21" x14ac:dyDescent="0.3">
      <c r="A53" s="32" t="str">
        <f t="shared" si="67"/>
        <v/>
      </c>
      <c r="B53" s="112" t="str">
        <f t="shared" ref="B53:B73" si="70">IF($B52="Lønnsutgifter","Sosiale utgifter","")</f>
        <v/>
      </c>
      <c r="C53" s="113"/>
      <c r="D53" s="113"/>
      <c r="E53" s="114"/>
      <c r="F53" s="33" t="str">
        <f t="shared" si="69"/>
        <v/>
      </c>
      <c r="G53" s="33" t="str">
        <f t="shared" si="69"/>
        <v/>
      </c>
      <c r="H53" s="33" t="str">
        <f t="shared" si="69"/>
        <v/>
      </c>
      <c r="I53" s="33" t="str">
        <f t="shared" si="69"/>
        <v/>
      </c>
    </row>
    <row r="54" spans="1:21" x14ac:dyDescent="0.3">
      <c r="A54" s="32" t="str">
        <f t="shared" si="67"/>
        <v/>
      </c>
      <c r="B54" s="112" t="str">
        <f t="shared" si="70"/>
        <v/>
      </c>
      <c r="C54" s="113"/>
      <c r="D54" s="113"/>
      <c r="E54" s="114"/>
      <c r="F54" s="33"/>
      <c r="G54" s="33" t="str">
        <f t="shared" si="69"/>
        <v/>
      </c>
      <c r="H54" s="33" t="str">
        <f t="shared" si="69"/>
        <v/>
      </c>
      <c r="I54" s="33" t="str">
        <f t="shared" si="69"/>
        <v/>
      </c>
    </row>
    <row r="55" spans="1:21" x14ac:dyDescent="0.3">
      <c r="A55" s="32" t="str">
        <f t="shared" si="67"/>
        <v/>
      </c>
      <c r="B55" s="112" t="str">
        <f t="shared" si="70"/>
        <v/>
      </c>
      <c r="C55" s="113"/>
      <c r="D55" s="113"/>
      <c r="E55" s="114"/>
      <c r="F55" s="33" t="str">
        <f t="shared" si="69"/>
        <v/>
      </c>
      <c r="G55" s="33" t="str">
        <f t="shared" si="69"/>
        <v/>
      </c>
      <c r="H55" s="33" t="str">
        <f t="shared" si="69"/>
        <v/>
      </c>
      <c r="I55" s="33" t="str">
        <f t="shared" si="69"/>
        <v/>
      </c>
    </row>
    <row r="56" spans="1:21" x14ac:dyDescent="0.3">
      <c r="A56" s="32" t="str">
        <f t="shared" si="67"/>
        <v/>
      </c>
      <c r="B56" s="112" t="str">
        <f t="shared" si="70"/>
        <v/>
      </c>
      <c r="C56" s="113"/>
      <c r="D56" s="113"/>
      <c r="E56" s="114"/>
      <c r="F56" s="33" t="str">
        <f t="shared" ref="F56" si="71">IFERROR(IF($B55="Lønnsutgifter",ROUND(F55*0.32834324315,0),""),"")</f>
        <v/>
      </c>
      <c r="G56" s="33" t="str">
        <f t="shared" ref="G56:I64" si="72">IFERROR(IF($B55="Lønnsutgifter",ROUND(G55*0.32834324315,0),""),"")</f>
        <v/>
      </c>
      <c r="H56" s="33" t="str">
        <f t="shared" si="72"/>
        <v/>
      </c>
      <c r="I56" s="33" t="str">
        <f t="shared" si="72"/>
        <v/>
      </c>
    </row>
    <row r="57" spans="1:21" x14ac:dyDescent="0.3">
      <c r="A57" s="32" t="str">
        <f t="shared" si="67"/>
        <v/>
      </c>
      <c r="B57" s="112" t="str">
        <f t="shared" si="70"/>
        <v/>
      </c>
      <c r="C57" s="113"/>
      <c r="D57" s="113"/>
      <c r="E57" s="114"/>
      <c r="F57" s="33" t="str">
        <f t="shared" ref="F57" si="73">IFERROR(IF($B56="Lønnsutgifter",ROUND(F56*0.32834324315,0),""),"")</f>
        <v/>
      </c>
      <c r="G57" s="33" t="str">
        <f t="shared" si="72"/>
        <v/>
      </c>
      <c r="H57" s="33" t="str">
        <f t="shared" si="72"/>
        <v/>
      </c>
      <c r="I57" s="33" t="str">
        <f t="shared" si="72"/>
        <v/>
      </c>
    </row>
    <row r="58" spans="1:21" x14ac:dyDescent="0.3">
      <c r="A58" s="32" t="str">
        <f t="shared" si="67"/>
        <v/>
      </c>
      <c r="B58" s="112" t="str">
        <f t="shared" si="70"/>
        <v/>
      </c>
      <c r="C58" s="113"/>
      <c r="D58" s="113"/>
      <c r="E58" s="114"/>
      <c r="F58" s="33" t="str">
        <f t="shared" ref="F58" si="74">IFERROR(IF($B57="Lønnsutgifter",ROUND(F57*0.32834324315,0),""),"")</f>
        <v/>
      </c>
      <c r="G58" s="33" t="str">
        <f t="shared" si="72"/>
        <v/>
      </c>
      <c r="H58" s="33" t="str">
        <f t="shared" si="72"/>
        <v/>
      </c>
      <c r="I58" s="33" t="str">
        <f t="shared" si="72"/>
        <v/>
      </c>
    </row>
    <row r="59" spans="1:21" x14ac:dyDescent="0.3">
      <c r="A59" s="32" t="str">
        <f t="shared" ref="A59:A64" si="75">IF(B58="Lønnsutgifter",A58&amp;", "&amp;LOWER(B59),"")</f>
        <v/>
      </c>
      <c r="B59" s="112" t="str">
        <f t="shared" si="70"/>
        <v/>
      </c>
      <c r="C59" s="113"/>
      <c r="D59" s="113"/>
      <c r="E59" s="114"/>
      <c r="F59" s="33"/>
      <c r="G59" s="33" t="str">
        <f t="shared" si="72"/>
        <v/>
      </c>
      <c r="H59" s="33" t="str">
        <f t="shared" si="72"/>
        <v/>
      </c>
      <c r="I59" s="33" t="str">
        <f t="shared" si="72"/>
        <v/>
      </c>
    </row>
    <row r="60" spans="1:21" x14ac:dyDescent="0.3">
      <c r="A60" s="32" t="str">
        <f t="shared" si="75"/>
        <v/>
      </c>
      <c r="B60" s="112" t="str">
        <f t="shared" si="70"/>
        <v/>
      </c>
      <c r="C60" s="113"/>
      <c r="D60" s="113"/>
      <c r="E60" s="114"/>
      <c r="F60" s="33" t="str">
        <f t="shared" ref="F60" si="76">IFERROR(IF($B59="Lønnsutgifter",ROUND(F59*0.32834324315,0),""),"")</f>
        <v/>
      </c>
      <c r="G60" s="33" t="str">
        <f t="shared" si="72"/>
        <v/>
      </c>
      <c r="H60" s="33" t="str">
        <f t="shared" si="72"/>
        <v/>
      </c>
      <c r="I60" s="33" t="str">
        <f t="shared" si="72"/>
        <v/>
      </c>
    </row>
    <row r="61" spans="1:21" x14ac:dyDescent="0.3">
      <c r="A61" s="32" t="str">
        <f t="shared" si="75"/>
        <v/>
      </c>
      <c r="B61" s="112" t="str">
        <f t="shared" si="70"/>
        <v/>
      </c>
      <c r="C61" s="113"/>
      <c r="D61" s="113"/>
      <c r="E61" s="114"/>
      <c r="F61" s="33" t="str">
        <f t="shared" ref="F61" si="77">IFERROR(IF($B60="Lønnsutgifter",ROUND(F60*0.32834324315,0),""),"")</f>
        <v/>
      </c>
      <c r="G61" s="33" t="str">
        <f t="shared" si="72"/>
        <v/>
      </c>
      <c r="H61" s="33" t="str">
        <f t="shared" si="72"/>
        <v/>
      </c>
      <c r="I61" s="33" t="str">
        <f t="shared" si="72"/>
        <v/>
      </c>
    </row>
    <row r="62" spans="1:21" x14ac:dyDescent="0.3">
      <c r="A62" s="32" t="str">
        <f t="shared" si="75"/>
        <v/>
      </c>
      <c r="B62" s="112" t="str">
        <f t="shared" si="70"/>
        <v/>
      </c>
      <c r="C62" s="113"/>
      <c r="D62" s="113"/>
      <c r="E62" s="114"/>
      <c r="F62" s="33" t="str">
        <f t="shared" ref="F62" si="78">IFERROR(IF($B61="Lønnsutgifter",ROUND(F61*0.32834324315,0),""),"")</f>
        <v/>
      </c>
      <c r="G62" s="33" t="str">
        <f t="shared" si="72"/>
        <v/>
      </c>
      <c r="H62" s="33" t="str">
        <f t="shared" si="72"/>
        <v/>
      </c>
      <c r="I62" s="33" t="str">
        <f t="shared" si="72"/>
        <v/>
      </c>
    </row>
    <row r="63" spans="1:21" x14ac:dyDescent="0.3">
      <c r="A63" s="32" t="str">
        <f t="shared" si="75"/>
        <v/>
      </c>
      <c r="B63" s="112" t="str">
        <f t="shared" si="70"/>
        <v/>
      </c>
      <c r="C63" s="113"/>
      <c r="D63" s="113"/>
      <c r="E63" s="114"/>
      <c r="F63" s="33" t="str">
        <f t="shared" ref="F63" si="79">IFERROR(IF($B62="Lønnsutgifter",ROUND(F62*0.32834324315,0),""),"")</f>
        <v/>
      </c>
      <c r="G63" s="33" t="str">
        <f t="shared" si="72"/>
        <v/>
      </c>
      <c r="H63" s="33" t="str">
        <f t="shared" si="72"/>
        <v/>
      </c>
      <c r="I63" s="33" t="str">
        <f t="shared" si="72"/>
        <v/>
      </c>
    </row>
    <row r="64" spans="1:21" x14ac:dyDescent="0.3">
      <c r="A64" s="32" t="str">
        <f t="shared" si="75"/>
        <v/>
      </c>
      <c r="B64" s="112" t="str">
        <f t="shared" si="70"/>
        <v/>
      </c>
      <c r="C64" s="113"/>
      <c r="D64" s="113"/>
      <c r="E64" s="114"/>
      <c r="F64" s="33" t="str">
        <f t="shared" ref="F64" si="80">IFERROR(IF($B63="Lønnsutgifter",ROUND(F63*0.32834324315,0),""),"")</f>
        <v/>
      </c>
      <c r="G64" s="33" t="str">
        <f t="shared" si="72"/>
        <v/>
      </c>
      <c r="H64" s="33" t="str">
        <f t="shared" si="72"/>
        <v/>
      </c>
      <c r="I64" s="33" t="str">
        <f t="shared" si="72"/>
        <v/>
      </c>
    </row>
    <row r="65" spans="1:9" x14ac:dyDescent="0.3">
      <c r="A65" s="32" t="str">
        <f t="shared" ref="A65:A86" si="81">IF(B64="Lønnsutgifter",A64&amp;", "&amp;LOWER(B65),"")</f>
        <v/>
      </c>
      <c r="B65" s="112" t="str">
        <f t="shared" si="70"/>
        <v/>
      </c>
      <c r="C65" s="113"/>
      <c r="D65" s="113"/>
      <c r="E65" s="114"/>
      <c r="F65" s="33" t="str">
        <f t="shared" ref="F65:F86" si="82">IFERROR(IF($B64="Lønnsutgifter",ROUND(F64*0.32834324315,0),""),"")</f>
        <v/>
      </c>
      <c r="G65" s="33" t="str">
        <f t="shared" ref="G65:G86" si="83">IFERROR(IF($B64="Lønnsutgifter",ROUND(G64*0.32834324315,0),""),"")</f>
        <v/>
      </c>
      <c r="H65" s="33" t="str">
        <f t="shared" ref="H65:H86" si="84">IFERROR(IF($B64="Lønnsutgifter",ROUND(H64*0.32834324315,0),""),"")</f>
        <v/>
      </c>
      <c r="I65" s="33" t="str">
        <f t="shared" ref="I65:I86" si="85">IFERROR(IF($B64="Lønnsutgifter",ROUND(I64*0.32834324315,0),""),"")</f>
        <v/>
      </c>
    </row>
    <row r="66" spans="1:9" x14ac:dyDescent="0.3">
      <c r="A66" s="32" t="str">
        <f t="shared" si="81"/>
        <v/>
      </c>
      <c r="B66" s="112" t="str">
        <f t="shared" si="70"/>
        <v/>
      </c>
      <c r="C66" s="113"/>
      <c r="D66" s="113"/>
      <c r="E66" s="114"/>
      <c r="F66" s="33" t="str">
        <f t="shared" si="82"/>
        <v/>
      </c>
      <c r="G66" s="33" t="str">
        <f t="shared" si="83"/>
        <v/>
      </c>
      <c r="H66" s="33" t="str">
        <f t="shared" si="84"/>
        <v/>
      </c>
      <c r="I66" s="33" t="str">
        <f t="shared" si="85"/>
        <v/>
      </c>
    </row>
    <row r="67" spans="1:9" x14ac:dyDescent="0.3">
      <c r="A67" s="32" t="str">
        <f t="shared" si="81"/>
        <v/>
      </c>
      <c r="B67" s="112" t="str">
        <f t="shared" si="70"/>
        <v/>
      </c>
      <c r="C67" s="113"/>
      <c r="D67" s="113"/>
      <c r="E67" s="114"/>
      <c r="F67" s="33" t="str">
        <f t="shared" si="82"/>
        <v/>
      </c>
      <c r="G67" s="33" t="str">
        <f t="shared" si="83"/>
        <v/>
      </c>
      <c r="H67" s="33" t="str">
        <f t="shared" si="84"/>
        <v/>
      </c>
      <c r="I67" s="33" t="str">
        <f t="shared" si="85"/>
        <v/>
      </c>
    </row>
    <row r="68" spans="1:9" x14ac:dyDescent="0.3">
      <c r="A68" s="32" t="str">
        <f t="shared" si="81"/>
        <v/>
      </c>
      <c r="B68" s="112" t="str">
        <f t="shared" si="70"/>
        <v/>
      </c>
      <c r="C68" s="113"/>
      <c r="D68" s="113"/>
      <c r="E68" s="114"/>
      <c r="F68" s="33" t="str">
        <f t="shared" si="82"/>
        <v/>
      </c>
      <c r="G68" s="33" t="str">
        <f t="shared" si="83"/>
        <v/>
      </c>
      <c r="H68" s="33" t="str">
        <f t="shared" si="84"/>
        <v/>
      </c>
      <c r="I68" s="33" t="str">
        <f t="shared" si="85"/>
        <v/>
      </c>
    </row>
    <row r="69" spans="1:9" x14ac:dyDescent="0.3">
      <c r="A69" s="32" t="str">
        <f t="shared" si="81"/>
        <v/>
      </c>
      <c r="B69" s="112" t="str">
        <f t="shared" si="70"/>
        <v/>
      </c>
      <c r="C69" s="113"/>
      <c r="D69" s="113"/>
      <c r="E69" s="114"/>
      <c r="F69" s="33" t="str">
        <f t="shared" si="82"/>
        <v/>
      </c>
      <c r="G69" s="33" t="str">
        <f t="shared" si="83"/>
        <v/>
      </c>
      <c r="H69" s="33" t="str">
        <f t="shared" si="84"/>
        <v/>
      </c>
      <c r="I69" s="33" t="str">
        <f t="shared" si="85"/>
        <v/>
      </c>
    </row>
    <row r="70" spans="1:9" x14ac:dyDescent="0.3">
      <c r="A70" s="32" t="str">
        <f t="shared" si="81"/>
        <v/>
      </c>
      <c r="B70" s="112" t="str">
        <f t="shared" si="70"/>
        <v/>
      </c>
      <c r="C70" s="113"/>
      <c r="D70" s="113"/>
      <c r="E70" s="114"/>
      <c r="F70" s="33" t="str">
        <f t="shared" si="82"/>
        <v/>
      </c>
      <c r="G70" s="33" t="str">
        <f t="shared" si="83"/>
        <v/>
      </c>
      <c r="H70" s="33" t="str">
        <f t="shared" si="84"/>
        <v/>
      </c>
      <c r="I70" s="33" t="str">
        <f t="shared" si="85"/>
        <v/>
      </c>
    </row>
    <row r="71" spans="1:9" x14ac:dyDescent="0.3">
      <c r="A71" s="32" t="str">
        <f t="shared" si="81"/>
        <v/>
      </c>
      <c r="B71" s="112" t="str">
        <f t="shared" si="70"/>
        <v/>
      </c>
      <c r="C71" s="113"/>
      <c r="D71" s="113"/>
      <c r="E71" s="114"/>
      <c r="F71" s="33" t="str">
        <f t="shared" si="82"/>
        <v/>
      </c>
      <c r="G71" s="33" t="str">
        <f t="shared" si="83"/>
        <v/>
      </c>
      <c r="H71" s="33" t="str">
        <f t="shared" si="84"/>
        <v/>
      </c>
      <c r="I71" s="33" t="str">
        <f t="shared" si="85"/>
        <v/>
      </c>
    </row>
    <row r="72" spans="1:9" x14ac:dyDescent="0.3">
      <c r="A72" s="32" t="str">
        <f t="shared" si="81"/>
        <v/>
      </c>
      <c r="B72" s="112" t="str">
        <f t="shared" si="70"/>
        <v/>
      </c>
      <c r="C72" s="113"/>
      <c r="D72" s="113"/>
      <c r="E72" s="114"/>
      <c r="F72" s="33" t="str">
        <f t="shared" si="82"/>
        <v/>
      </c>
      <c r="G72" s="33" t="str">
        <f t="shared" si="83"/>
        <v/>
      </c>
      <c r="H72" s="33" t="str">
        <f t="shared" si="84"/>
        <v/>
      </c>
      <c r="I72" s="33" t="str">
        <f t="shared" si="85"/>
        <v/>
      </c>
    </row>
    <row r="73" spans="1:9" x14ac:dyDescent="0.3">
      <c r="A73" s="32" t="str">
        <f t="shared" si="81"/>
        <v/>
      </c>
      <c r="B73" s="112" t="str">
        <f t="shared" si="70"/>
        <v/>
      </c>
      <c r="C73" s="113"/>
      <c r="D73" s="113"/>
      <c r="E73" s="114"/>
      <c r="F73" s="33" t="str">
        <f t="shared" si="82"/>
        <v/>
      </c>
      <c r="G73" s="33" t="str">
        <f t="shared" si="83"/>
        <v/>
      </c>
      <c r="H73" s="33" t="str">
        <f t="shared" si="84"/>
        <v/>
      </c>
      <c r="I73" s="33" t="str">
        <f t="shared" si="85"/>
        <v/>
      </c>
    </row>
    <row r="74" spans="1:9" x14ac:dyDescent="0.3">
      <c r="A74" s="32" t="str">
        <f t="shared" si="81"/>
        <v/>
      </c>
      <c r="B74" s="112" t="str">
        <f t="shared" ref="B74:B86" si="86">IF($B73="Lønnsutgifter","Sosiale utgifter","")</f>
        <v/>
      </c>
      <c r="C74" s="113"/>
      <c r="D74" s="113"/>
      <c r="E74" s="114"/>
      <c r="F74" s="33" t="str">
        <f t="shared" si="82"/>
        <v/>
      </c>
      <c r="G74" s="33" t="str">
        <f t="shared" si="83"/>
        <v/>
      </c>
      <c r="H74" s="33" t="str">
        <f t="shared" si="84"/>
        <v/>
      </c>
      <c r="I74" s="33" t="str">
        <f t="shared" si="85"/>
        <v/>
      </c>
    </row>
    <row r="75" spans="1:9" x14ac:dyDescent="0.3">
      <c r="A75" s="32" t="str">
        <f t="shared" si="81"/>
        <v/>
      </c>
      <c r="B75" s="112" t="str">
        <f t="shared" si="86"/>
        <v/>
      </c>
      <c r="C75" s="113"/>
      <c r="D75" s="113"/>
      <c r="E75" s="114"/>
      <c r="F75" s="33" t="str">
        <f t="shared" si="82"/>
        <v/>
      </c>
      <c r="G75" s="33" t="str">
        <f t="shared" si="83"/>
        <v/>
      </c>
      <c r="H75" s="33" t="str">
        <f t="shared" si="84"/>
        <v/>
      </c>
      <c r="I75" s="33" t="str">
        <f t="shared" si="85"/>
        <v/>
      </c>
    </row>
    <row r="76" spans="1:9" x14ac:dyDescent="0.3">
      <c r="A76" s="32" t="str">
        <f t="shared" si="81"/>
        <v/>
      </c>
      <c r="B76" s="112" t="str">
        <f t="shared" si="86"/>
        <v/>
      </c>
      <c r="C76" s="113"/>
      <c r="D76" s="113"/>
      <c r="E76" s="114"/>
      <c r="F76" s="33" t="str">
        <f t="shared" si="82"/>
        <v/>
      </c>
      <c r="G76" s="33" t="str">
        <f t="shared" si="83"/>
        <v/>
      </c>
      <c r="H76" s="33" t="str">
        <f t="shared" si="84"/>
        <v/>
      </c>
      <c r="I76" s="33" t="str">
        <f t="shared" si="85"/>
        <v/>
      </c>
    </row>
    <row r="77" spans="1:9" x14ac:dyDescent="0.3">
      <c r="A77" s="32" t="str">
        <f t="shared" si="81"/>
        <v/>
      </c>
      <c r="B77" s="112" t="str">
        <f t="shared" si="86"/>
        <v/>
      </c>
      <c r="C77" s="113"/>
      <c r="D77" s="113"/>
      <c r="E77" s="114"/>
      <c r="F77" s="33" t="str">
        <f t="shared" si="82"/>
        <v/>
      </c>
      <c r="G77" s="33" t="str">
        <f t="shared" si="83"/>
        <v/>
      </c>
      <c r="H77" s="33" t="str">
        <f t="shared" si="84"/>
        <v/>
      </c>
      <c r="I77" s="33" t="str">
        <f t="shared" si="85"/>
        <v/>
      </c>
    </row>
    <row r="78" spans="1:9" x14ac:dyDescent="0.3">
      <c r="A78" s="32" t="str">
        <f t="shared" si="81"/>
        <v/>
      </c>
      <c r="B78" s="112" t="str">
        <f t="shared" si="86"/>
        <v/>
      </c>
      <c r="C78" s="113"/>
      <c r="D78" s="113"/>
      <c r="E78" s="114"/>
      <c r="F78" s="33" t="str">
        <f t="shared" si="82"/>
        <v/>
      </c>
      <c r="G78" s="33" t="str">
        <f t="shared" si="83"/>
        <v/>
      </c>
      <c r="H78" s="33" t="str">
        <f t="shared" si="84"/>
        <v/>
      </c>
      <c r="I78" s="33" t="str">
        <f t="shared" si="85"/>
        <v/>
      </c>
    </row>
    <row r="79" spans="1:9" x14ac:dyDescent="0.3">
      <c r="A79" s="32" t="str">
        <f t="shared" si="81"/>
        <v/>
      </c>
      <c r="B79" s="112" t="str">
        <f t="shared" si="86"/>
        <v/>
      </c>
      <c r="C79" s="113"/>
      <c r="D79" s="113"/>
      <c r="E79" s="114"/>
      <c r="F79" s="33" t="str">
        <f t="shared" si="82"/>
        <v/>
      </c>
      <c r="G79" s="33" t="str">
        <f t="shared" si="83"/>
        <v/>
      </c>
      <c r="H79" s="33" t="str">
        <f t="shared" si="84"/>
        <v/>
      </c>
      <c r="I79" s="33" t="str">
        <f t="shared" si="85"/>
        <v/>
      </c>
    </row>
    <row r="80" spans="1:9" x14ac:dyDescent="0.3">
      <c r="A80" s="32" t="str">
        <f t="shared" si="81"/>
        <v/>
      </c>
      <c r="B80" s="112" t="str">
        <f t="shared" si="86"/>
        <v/>
      </c>
      <c r="C80" s="113"/>
      <c r="D80" s="113"/>
      <c r="E80" s="114"/>
      <c r="F80" s="33" t="str">
        <f t="shared" si="82"/>
        <v/>
      </c>
      <c r="G80" s="33" t="str">
        <f t="shared" si="83"/>
        <v/>
      </c>
      <c r="H80" s="33" t="str">
        <f t="shared" si="84"/>
        <v/>
      </c>
      <c r="I80" s="33" t="str">
        <f t="shared" si="85"/>
        <v/>
      </c>
    </row>
    <row r="81" spans="1:9" x14ac:dyDescent="0.3">
      <c r="A81" s="32" t="str">
        <f t="shared" si="81"/>
        <v/>
      </c>
      <c r="B81" s="112" t="str">
        <f t="shared" si="86"/>
        <v/>
      </c>
      <c r="C81" s="113"/>
      <c r="D81" s="113"/>
      <c r="E81" s="114"/>
      <c r="F81" s="33" t="str">
        <f t="shared" si="82"/>
        <v/>
      </c>
      <c r="G81" s="33" t="str">
        <f t="shared" si="83"/>
        <v/>
      </c>
      <c r="H81" s="33" t="str">
        <f t="shared" si="84"/>
        <v/>
      </c>
      <c r="I81" s="33" t="str">
        <f t="shared" si="85"/>
        <v/>
      </c>
    </row>
    <row r="82" spans="1:9" x14ac:dyDescent="0.3">
      <c r="A82" s="32" t="str">
        <f t="shared" si="81"/>
        <v/>
      </c>
      <c r="B82" s="112" t="str">
        <f t="shared" si="86"/>
        <v/>
      </c>
      <c r="C82" s="113"/>
      <c r="D82" s="113"/>
      <c r="E82" s="114"/>
      <c r="F82" s="33" t="str">
        <f t="shared" si="82"/>
        <v/>
      </c>
      <c r="G82" s="33" t="str">
        <f t="shared" si="83"/>
        <v/>
      </c>
      <c r="H82" s="33" t="str">
        <f t="shared" si="84"/>
        <v/>
      </c>
      <c r="I82" s="33" t="str">
        <f t="shared" si="85"/>
        <v/>
      </c>
    </row>
    <row r="83" spans="1:9" x14ac:dyDescent="0.3">
      <c r="A83" s="32" t="str">
        <f t="shared" si="81"/>
        <v/>
      </c>
      <c r="B83" s="112" t="str">
        <f t="shared" si="86"/>
        <v/>
      </c>
      <c r="C83" s="113"/>
      <c r="D83" s="113"/>
      <c r="E83" s="114"/>
      <c r="F83" s="33" t="str">
        <f t="shared" si="82"/>
        <v/>
      </c>
      <c r="G83" s="33" t="str">
        <f t="shared" si="83"/>
        <v/>
      </c>
      <c r="H83" s="33" t="str">
        <f t="shared" si="84"/>
        <v/>
      </c>
      <c r="I83" s="33" t="str">
        <f t="shared" si="85"/>
        <v/>
      </c>
    </row>
    <row r="84" spans="1:9" x14ac:dyDescent="0.3">
      <c r="A84" s="32" t="str">
        <f t="shared" si="81"/>
        <v/>
      </c>
      <c r="B84" s="112" t="str">
        <f t="shared" si="86"/>
        <v/>
      </c>
      <c r="C84" s="113"/>
      <c r="D84" s="113"/>
      <c r="E84" s="114"/>
      <c r="F84" s="33" t="str">
        <f t="shared" si="82"/>
        <v/>
      </c>
      <c r="G84" s="33" t="str">
        <f t="shared" si="83"/>
        <v/>
      </c>
      <c r="H84" s="33" t="str">
        <f t="shared" si="84"/>
        <v/>
      </c>
      <c r="I84" s="33" t="str">
        <f t="shared" si="85"/>
        <v/>
      </c>
    </row>
    <row r="85" spans="1:9" x14ac:dyDescent="0.3">
      <c r="A85" s="32" t="str">
        <f t="shared" si="81"/>
        <v/>
      </c>
      <c r="B85" s="112" t="str">
        <f t="shared" si="86"/>
        <v/>
      </c>
      <c r="C85" s="113"/>
      <c r="D85" s="113"/>
      <c r="E85" s="114"/>
      <c r="F85" s="33" t="str">
        <f t="shared" si="82"/>
        <v/>
      </c>
      <c r="G85" s="33" t="str">
        <f t="shared" si="83"/>
        <v/>
      </c>
      <c r="H85" s="33" t="str">
        <f t="shared" si="84"/>
        <v/>
      </c>
      <c r="I85" s="33" t="str">
        <f t="shared" si="85"/>
        <v/>
      </c>
    </row>
    <row r="86" spans="1:9" x14ac:dyDescent="0.3">
      <c r="A86" s="32" t="str">
        <f t="shared" si="81"/>
        <v/>
      </c>
      <c r="B86" s="112" t="str">
        <f t="shared" si="86"/>
        <v/>
      </c>
      <c r="C86" s="113"/>
      <c r="D86" s="113"/>
      <c r="E86" s="114"/>
      <c r="F86" s="33" t="str">
        <f t="shared" si="82"/>
        <v/>
      </c>
      <c r="G86" s="33" t="str">
        <f t="shared" si="83"/>
        <v/>
      </c>
      <c r="H86" s="33" t="str">
        <f t="shared" si="84"/>
        <v/>
      </c>
      <c r="I86" s="33" t="str">
        <f t="shared" si="85"/>
        <v/>
      </c>
    </row>
  </sheetData>
  <sheetProtection algorithmName="SHA-512" hashValue="h+FEZ3yrXarITe3dhTWEPRDEJQTaJ9DDHe5qmmGzqtqx+WTOiAVrrgKLmwoU2TnGt8wHI0T1Ri/iUX9Afriw4A==" saltValue="FGL/Zs/GJ7knc5UomAq7Cg==" spinCount="100000" sheet="1" objects="1" scenarios="1"/>
  <mergeCells count="45">
    <mergeCell ref="B81:E81"/>
    <mergeCell ref="B75:E75"/>
    <mergeCell ref="B76:E76"/>
    <mergeCell ref="B77:E77"/>
    <mergeCell ref="B78:E78"/>
    <mergeCell ref="B79:E79"/>
    <mergeCell ref="B80:E80"/>
    <mergeCell ref="B82:E82"/>
    <mergeCell ref="B83:E83"/>
    <mergeCell ref="B84:E84"/>
    <mergeCell ref="B85:E85"/>
    <mergeCell ref="B86:E86"/>
    <mergeCell ref="B74:E74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62:E62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F2:I2"/>
    <mergeCell ref="J2:M2"/>
    <mergeCell ref="B2:E2"/>
    <mergeCell ref="B47:E47"/>
    <mergeCell ref="B50:E50"/>
    <mergeCell ref="B46:E46"/>
    <mergeCell ref="F46:I46"/>
    <mergeCell ref="B48:E48"/>
    <mergeCell ref="B49:E49"/>
  </mergeCells>
  <pageMargins left="0.25" right="0.25" top="0.75" bottom="0.75" header="0.3" footer="0.3"/>
  <pageSetup paperSize="9" scale="64" fitToHeight="0" orientation="landscape" verticalDpi="0" r:id="rId1"/>
  <rowBreaks count="1" manualBreakCount="1">
    <brk id="39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BC8EC59-2763-4B02-8128-2A246546C1DE}">
            <x14:iconSet iconSet="3Symbols" custom="1">
              <x14:cfvo type="percent">
                <xm:f>0</xm:f>
              </x14:cfvo>
              <x14:cfvo type="num" gte="0">
                <xm:f>0</xm:f>
              </x14:cfvo>
              <x14:cfvo type="num">
                <xm:f>0.01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J31:M31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1B6A428-1B1F-4907-84BA-EEB7399C2BB8}">
          <x14:formula1>
            <xm:f>DATA!$A$6:$A$27</xm:f>
          </x14:formula1>
          <xm:sqref>B50:B86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A9AA0-2ACE-4D12-861E-B23882B3EF36}">
  <sheetPr>
    <tabColor rgb="FF4C9C2E"/>
    <pageSetUpPr fitToPage="1"/>
  </sheetPr>
  <dimension ref="A1:P81"/>
  <sheetViews>
    <sheetView showGridLines="0" zoomScale="90" zoomScaleNormal="90" workbookViewId="0">
      <selection activeCell="E16" sqref="E16"/>
    </sheetView>
  </sheetViews>
  <sheetFormatPr baseColWidth="10" defaultColWidth="11.42578125" defaultRowHeight="16.5" x14ac:dyDescent="0.3"/>
  <cols>
    <col min="1" max="1" width="55.7109375" style="2" customWidth="1"/>
    <col min="2" max="13" width="13.7109375" style="2" customWidth="1"/>
    <col min="14" max="16384" width="11.42578125" style="2"/>
  </cols>
  <sheetData>
    <row r="1" spans="1:13" ht="27.75" x14ac:dyDescent="0.45">
      <c r="A1" s="30" t="s">
        <v>43</v>
      </c>
    </row>
    <row r="2" spans="1:13" ht="38.25" customHeight="1" x14ac:dyDescent="0.3">
      <c r="A2" s="31" t="str">
        <f>IF(FORSIDE!B2="","Budsjettforslag","Budsjettforslag fra "&amp;FORSIDE!B2)</f>
        <v>Budsjettforslag fra Skriv inn gruppe</v>
      </c>
      <c r="B2" s="107" t="s">
        <v>2</v>
      </c>
      <c r="C2" s="107"/>
      <c r="D2" s="107"/>
      <c r="E2" s="108"/>
      <c r="F2" s="106" t="s">
        <v>3</v>
      </c>
      <c r="G2" s="107"/>
      <c r="H2" s="107"/>
      <c r="I2" s="108"/>
      <c r="J2" s="109" t="str">
        <f>IF(FORSIDE!B2="","Nytt budsjettforslag","Nytt budsjettforslag fra "&amp;FORSIDE!B2)</f>
        <v>Nytt budsjettforslag fra Skriv inn gruppe</v>
      </c>
      <c r="K2" s="109"/>
      <c r="L2" s="109"/>
      <c r="M2" s="109"/>
    </row>
    <row r="3" spans="1:13" x14ac:dyDescent="0.3">
      <c r="A3" s="7" t="s">
        <v>44</v>
      </c>
      <c r="B3" s="8">
        <v>2026</v>
      </c>
      <c r="C3" s="8">
        <v>2027</v>
      </c>
      <c r="D3" s="8">
        <v>2028</v>
      </c>
      <c r="E3" s="8">
        <v>2029</v>
      </c>
      <c r="F3" s="8">
        <v>2026</v>
      </c>
      <c r="G3" s="8">
        <v>2027</v>
      </c>
      <c r="H3" s="8">
        <v>2028</v>
      </c>
      <c r="I3" s="8">
        <v>2029</v>
      </c>
      <c r="J3" s="8">
        <v>2026</v>
      </c>
      <c r="K3" s="8">
        <v>2027</v>
      </c>
      <c r="L3" s="8">
        <v>2028</v>
      </c>
      <c r="M3" s="8">
        <v>2029</v>
      </c>
    </row>
    <row r="4" spans="1:13" x14ac:dyDescent="0.3">
      <c r="F4" s="9"/>
      <c r="J4" s="9"/>
    </row>
    <row r="5" spans="1:13" x14ac:dyDescent="0.3">
      <c r="A5" s="2" t="s">
        <v>45</v>
      </c>
      <c r="B5" s="15">
        <v>91671</v>
      </c>
      <c r="C5" s="15">
        <v>74614</v>
      </c>
      <c r="D5" s="15">
        <v>76489</v>
      </c>
      <c r="E5" s="15">
        <v>155677</v>
      </c>
      <c r="F5" s="16">
        <f t="shared" ref="F5:I9" si="0">SUMIF($B$41:$B$99,$A5,F$41:F$99)</f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  <c r="J5" s="16">
        <f>F5+B5</f>
        <v>91671</v>
      </c>
      <c r="K5" s="15">
        <f t="shared" ref="K5:M5" si="1">G5+C5</f>
        <v>74614</v>
      </c>
      <c r="L5" s="15">
        <f t="shared" si="1"/>
        <v>76489</v>
      </c>
      <c r="M5" s="15">
        <f t="shared" si="1"/>
        <v>155677</v>
      </c>
    </row>
    <row r="6" spans="1:13" x14ac:dyDescent="0.3">
      <c r="A6" s="2" t="s">
        <v>46</v>
      </c>
      <c r="B6" s="15">
        <v>3110</v>
      </c>
      <c r="C6" s="15">
        <v>0</v>
      </c>
      <c r="D6" s="15">
        <v>0</v>
      </c>
      <c r="E6" s="15">
        <v>0</v>
      </c>
      <c r="F6" s="16">
        <f t="shared" si="0"/>
        <v>0</v>
      </c>
      <c r="G6" s="15">
        <f t="shared" si="0"/>
        <v>0</v>
      </c>
      <c r="H6" s="15">
        <f t="shared" si="0"/>
        <v>0</v>
      </c>
      <c r="I6" s="15">
        <f t="shared" si="0"/>
        <v>0</v>
      </c>
      <c r="J6" s="16">
        <f t="shared" ref="J6:J9" si="2">F6+B6</f>
        <v>3110</v>
      </c>
      <c r="K6" s="15">
        <f t="shared" ref="K6:K9" si="3">G6+C6</f>
        <v>0</v>
      </c>
      <c r="L6" s="15">
        <f t="shared" ref="L6:L9" si="4">H6+D6</f>
        <v>0</v>
      </c>
      <c r="M6" s="15">
        <f t="shared" ref="M6:M9" si="5">I6+E6</f>
        <v>0</v>
      </c>
    </row>
    <row r="7" spans="1:13" x14ac:dyDescent="0.3">
      <c r="A7" s="2" t="s">
        <v>47</v>
      </c>
      <c r="B7" s="15">
        <v>0</v>
      </c>
      <c r="C7" s="15">
        <v>0</v>
      </c>
      <c r="D7" s="15">
        <v>0</v>
      </c>
      <c r="E7" s="15">
        <v>0</v>
      </c>
      <c r="F7" s="16">
        <f t="shared" si="0"/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6">
        <f t="shared" si="2"/>
        <v>0</v>
      </c>
      <c r="K7" s="15">
        <f t="shared" si="3"/>
        <v>0</v>
      </c>
      <c r="L7" s="15">
        <f t="shared" si="4"/>
        <v>0</v>
      </c>
      <c r="M7" s="15">
        <f t="shared" si="5"/>
        <v>0</v>
      </c>
    </row>
    <row r="8" spans="1:13" x14ac:dyDescent="0.3">
      <c r="A8" s="2" t="s">
        <v>48</v>
      </c>
      <c r="B8" s="15">
        <v>0</v>
      </c>
      <c r="C8" s="15">
        <v>0</v>
      </c>
      <c r="D8" s="15">
        <v>0</v>
      </c>
      <c r="E8" s="15">
        <v>0</v>
      </c>
      <c r="F8" s="16">
        <f t="shared" si="0"/>
        <v>0</v>
      </c>
      <c r="G8" s="15">
        <f t="shared" si="0"/>
        <v>0</v>
      </c>
      <c r="H8" s="15">
        <f t="shared" si="0"/>
        <v>0</v>
      </c>
      <c r="I8" s="15">
        <f t="shared" si="0"/>
        <v>0</v>
      </c>
      <c r="J8" s="16">
        <f t="shared" si="2"/>
        <v>0</v>
      </c>
      <c r="K8" s="15">
        <f t="shared" si="3"/>
        <v>0</v>
      </c>
      <c r="L8" s="15">
        <f t="shared" si="4"/>
        <v>0</v>
      </c>
      <c r="M8" s="15">
        <f t="shared" si="5"/>
        <v>0</v>
      </c>
    </row>
    <row r="9" spans="1:13" x14ac:dyDescent="0.3">
      <c r="A9" s="2" t="s">
        <v>25</v>
      </c>
      <c r="B9" s="15">
        <v>0</v>
      </c>
      <c r="C9" s="15">
        <v>0</v>
      </c>
      <c r="D9" s="15">
        <v>0</v>
      </c>
      <c r="E9" s="15">
        <v>0</v>
      </c>
      <c r="F9" s="16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2"/>
        <v>0</v>
      </c>
      <c r="K9" s="15">
        <f t="shared" si="3"/>
        <v>0</v>
      </c>
      <c r="L9" s="15">
        <f t="shared" si="4"/>
        <v>0</v>
      </c>
      <c r="M9" s="15">
        <f t="shared" si="5"/>
        <v>0</v>
      </c>
    </row>
    <row r="10" spans="1:13" x14ac:dyDescent="0.3">
      <c r="A10" s="35" t="s">
        <v>49</v>
      </c>
      <c r="B10" s="36">
        <f>SUM(B5:B9)</f>
        <v>94781</v>
      </c>
      <c r="C10" s="36">
        <f t="shared" ref="C10:E10" si="6">SUM(C5:C9)</f>
        <v>74614</v>
      </c>
      <c r="D10" s="36">
        <f t="shared" si="6"/>
        <v>76489</v>
      </c>
      <c r="E10" s="36">
        <f t="shared" si="6"/>
        <v>155677</v>
      </c>
      <c r="F10" s="38">
        <f t="shared" ref="F10" si="7">SUM(F5:F9)</f>
        <v>0</v>
      </c>
      <c r="G10" s="39">
        <f t="shared" ref="G10" si="8">SUM(G5:G9)</f>
        <v>0</v>
      </c>
      <c r="H10" s="39">
        <f t="shared" ref="H10" si="9">SUM(H5:H9)</f>
        <v>0</v>
      </c>
      <c r="I10" s="40">
        <f t="shared" ref="I10" si="10">SUM(I5:I9)</f>
        <v>0</v>
      </c>
      <c r="J10" s="39">
        <f>SUM(J5:J9)</f>
        <v>94781</v>
      </c>
      <c r="K10" s="39">
        <f t="shared" ref="K10" si="11">SUM(K5:K9)</f>
        <v>74614</v>
      </c>
      <c r="L10" s="39">
        <f t="shared" ref="L10" si="12">SUM(L5:L9)</f>
        <v>76489</v>
      </c>
      <c r="M10" s="39">
        <f t="shared" ref="M10" si="13">SUM(M5:M9)</f>
        <v>155677</v>
      </c>
    </row>
    <row r="11" spans="1:13" x14ac:dyDescent="0.3">
      <c r="B11" s="15"/>
      <c r="C11" s="15"/>
      <c r="D11" s="15"/>
      <c r="E11" s="15"/>
      <c r="F11" s="16"/>
      <c r="G11" s="15"/>
      <c r="H11" s="15"/>
      <c r="I11" s="15"/>
      <c r="J11" s="16"/>
      <c r="K11" s="15"/>
      <c r="L11" s="15"/>
      <c r="M11" s="15"/>
    </row>
    <row r="12" spans="1:13" x14ac:dyDescent="0.3">
      <c r="A12" s="2" t="s">
        <v>50</v>
      </c>
      <c r="B12" s="15">
        <v>-17926</v>
      </c>
      <c r="C12" s="15">
        <v>-14564</v>
      </c>
      <c r="D12" s="15">
        <v>-14939</v>
      </c>
      <c r="E12" s="15">
        <v>-33827</v>
      </c>
      <c r="F12" s="16">
        <f t="shared" ref="F12:I18" si="14">SUMIF($B$41:$B$99,$A12,F$41:F$99)</f>
        <v>0</v>
      </c>
      <c r="G12" s="15">
        <f t="shared" si="14"/>
        <v>0</v>
      </c>
      <c r="H12" s="15">
        <f t="shared" si="14"/>
        <v>0</v>
      </c>
      <c r="I12" s="15">
        <f t="shared" si="14"/>
        <v>0</v>
      </c>
      <c r="J12" s="16">
        <f t="shared" ref="J12:J18" si="15">F12+B12</f>
        <v>-17926</v>
      </c>
      <c r="K12" s="15">
        <f t="shared" ref="K12:K18" si="16">G12+C12</f>
        <v>-14564</v>
      </c>
      <c r="L12" s="15">
        <f t="shared" ref="L12:L18" si="17">H12+D12</f>
        <v>-14939</v>
      </c>
      <c r="M12" s="15">
        <f t="shared" ref="M12:M18" si="18">I12+E12</f>
        <v>-33827</v>
      </c>
    </row>
    <row r="13" spans="1:13" x14ac:dyDescent="0.3">
      <c r="A13" s="2" t="s">
        <v>51</v>
      </c>
      <c r="B13" s="15">
        <v>-900</v>
      </c>
      <c r="C13" s="15">
        <v>0</v>
      </c>
      <c r="D13" s="15">
        <v>0</v>
      </c>
      <c r="E13" s="15">
        <v>-14000</v>
      </c>
      <c r="F13" s="16">
        <v>0</v>
      </c>
      <c r="G13" s="15">
        <f t="shared" si="14"/>
        <v>0</v>
      </c>
      <c r="H13" s="15">
        <f t="shared" si="14"/>
        <v>0</v>
      </c>
      <c r="I13" s="15">
        <f t="shared" si="14"/>
        <v>0</v>
      </c>
      <c r="J13" s="16">
        <f t="shared" si="15"/>
        <v>-900</v>
      </c>
      <c r="K13" s="15">
        <f t="shared" si="16"/>
        <v>0</v>
      </c>
      <c r="L13" s="15">
        <f t="shared" si="17"/>
        <v>0</v>
      </c>
      <c r="M13" s="15">
        <f t="shared" si="18"/>
        <v>-14000</v>
      </c>
    </row>
    <row r="14" spans="1:13" x14ac:dyDescent="0.3">
      <c r="A14" s="2" t="s">
        <v>52</v>
      </c>
      <c r="B14" s="15">
        <v>0</v>
      </c>
      <c r="C14" s="15">
        <v>0</v>
      </c>
      <c r="D14" s="15">
        <v>0</v>
      </c>
      <c r="E14" s="15">
        <v>0</v>
      </c>
      <c r="F14" s="16">
        <f t="shared" si="14"/>
        <v>0</v>
      </c>
      <c r="G14" s="15">
        <f t="shared" si="14"/>
        <v>0</v>
      </c>
      <c r="H14" s="15">
        <f t="shared" si="14"/>
        <v>0</v>
      </c>
      <c r="I14" s="15">
        <f t="shared" si="14"/>
        <v>0</v>
      </c>
      <c r="J14" s="16">
        <f t="shared" si="15"/>
        <v>0</v>
      </c>
      <c r="K14" s="15">
        <f t="shared" si="16"/>
        <v>0</v>
      </c>
      <c r="L14" s="15">
        <f t="shared" si="17"/>
        <v>0</v>
      </c>
      <c r="M14" s="15">
        <f t="shared" si="18"/>
        <v>0</v>
      </c>
    </row>
    <row r="15" spans="1:13" x14ac:dyDescent="0.3">
      <c r="A15" s="2" t="s">
        <v>53</v>
      </c>
      <c r="B15" s="15">
        <v>0</v>
      </c>
      <c r="C15" s="15">
        <v>0</v>
      </c>
      <c r="D15" s="15">
        <v>0</v>
      </c>
      <c r="E15" s="15">
        <v>0</v>
      </c>
      <c r="F15" s="16">
        <f t="shared" si="14"/>
        <v>0</v>
      </c>
      <c r="G15" s="15">
        <f t="shared" si="14"/>
        <v>0</v>
      </c>
      <c r="H15" s="15">
        <f t="shared" si="14"/>
        <v>0</v>
      </c>
      <c r="I15" s="15">
        <f t="shared" si="14"/>
        <v>0</v>
      </c>
      <c r="J15" s="16">
        <f t="shared" si="15"/>
        <v>0</v>
      </c>
      <c r="K15" s="15">
        <f t="shared" si="16"/>
        <v>0</v>
      </c>
      <c r="L15" s="15">
        <f t="shared" si="17"/>
        <v>0</v>
      </c>
      <c r="M15" s="15">
        <f t="shared" si="18"/>
        <v>0</v>
      </c>
    </row>
    <row r="16" spans="1:13" x14ac:dyDescent="0.3">
      <c r="A16" s="2" t="s">
        <v>54</v>
      </c>
      <c r="B16" s="15">
        <v>0</v>
      </c>
      <c r="C16" s="15">
        <v>0</v>
      </c>
      <c r="D16" s="15">
        <v>0</v>
      </c>
      <c r="E16" s="15">
        <v>0</v>
      </c>
      <c r="F16" s="16">
        <f t="shared" si="14"/>
        <v>0</v>
      </c>
      <c r="G16" s="15">
        <f t="shared" si="14"/>
        <v>0</v>
      </c>
      <c r="H16" s="15">
        <f t="shared" si="14"/>
        <v>0</v>
      </c>
      <c r="I16" s="15">
        <f t="shared" si="14"/>
        <v>0</v>
      </c>
      <c r="J16" s="16">
        <f t="shared" si="15"/>
        <v>0</v>
      </c>
      <c r="K16" s="15">
        <f t="shared" si="16"/>
        <v>0</v>
      </c>
      <c r="L16" s="15">
        <f t="shared" si="17"/>
        <v>0</v>
      </c>
      <c r="M16" s="15">
        <f t="shared" si="18"/>
        <v>0</v>
      </c>
    </row>
    <row r="17" spans="1:16" x14ac:dyDescent="0.3">
      <c r="A17" s="2" t="s">
        <v>55</v>
      </c>
      <c r="B17" s="15">
        <v>-4600</v>
      </c>
      <c r="C17" s="15">
        <v>-4600</v>
      </c>
      <c r="D17" s="15">
        <v>-4600</v>
      </c>
      <c r="E17" s="15">
        <v>-4600</v>
      </c>
      <c r="F17" s="16">
        <f t="shared" si="14"/>
        <v>0</v>
      </c>
      <c r="G17" s="15">
        <f t="shared" si="14"/>
        <v>0</v>
      </c>
      <c r="H17" s="15">
        <f t="shared" si="14"/>
        <v>0</v>
      </c>
      <c r="I17" s="15">
        <f t="shared" si="14"/>
        <v>0</v>
      </c>
      <c r="J17" s="16">
        <f t="shared" si="15"/>
        <v>-4600</v>
      </c>
      <c r="K17" s="15">
        <f t="shared" si="16"/>
        <v>-4600</v>
      </c>
      <c r="L17" s="15">
        <f t="shared" si="17"/>
        <v>-4600</v>
      </c>
      <c r="M17" s="15">
        <f t="shared" si="18"/>
        <v>-4600</v>
      </c>
    </row>
    <row r="18" spans="1:16" x14ac:dyDescent="0.3">
      <c r="A18" s="2" t="s">
        <v>56</v>
      </c>
      <c r="B18" s="15">
        <v>-57036</v>
      </c>
      <c r="C18" s="15">
        <v>-46841</v>
      </c>
      <c r="D18" s="15">
        <v>-39080</v>
      </c>
      <c r="E18" s="15">
        <v>-79361</v>
      </c>
      <c r="F18" s="16">
        <f t="shared" si="14"/>
        <v>0</v>
      </c>
      <c r="G18" s="15">
        <f t="shared" si="14"/>
        <v>0</v>
      </c>
      <c r="H18" s="15">
        <f t="shared" si="14"/>
        <v>0</v>
      </c>
      <c r="I18" s="15">
        <f t="shared" si="14"/>
        <v>0</v>
      </c>
      <c r="J18" s="16">
        <f t="shared" si="15"/>
        <v>-57036</v>
      </c>
      <c r="K18" s="15">
        <f t="shared" si="16"/>
        <v>-46841</v>
      </c>
      <c r="L18" s="15">
        <f t="shared" si="17"/>
        <v>-39080</v>
      </c>
      <c r="M18" s="15">
        <f t="shared" si="18"/>
        <v>-79361</v>
      </c>
    </row>
    <row r="19" spans="1:16" x14ac:dyDescent="0.3">
      <c r="A19" s="35" t="s">
        <v>57</v>
      </c>
      <c r="B19" s="36">
        <f>SUM(B12:B18)</f>
        <v>-80462</v>
      </c>
      <c r="C19" s="36">
        <f t="shared" ref="C19:E19" si="19">SUM(C12:C18)</f>
        <v>-66005</v>
      </c>
      <c r="D19" s="36">
        <f t="shared" si="19"/>
        <v>-58619</v>
      </c>
      <c r="E19" s="36">
        <f t="shared" si="19"/>
        <v>-131788</v>
      </c>
      <c r="F19" s="38">
        <f>SUM(F12:F18)</f>
        <v>0</v>
      </c>
      <c r="G19" s="39">
        <f t="shared" ref="G19:I19" si="20">SUM(G12:G18)</f>
        <v>0</v>
      </c>
      <c r="H19" s="39">
        <f t="shared" si="20"/>
        <v>0</v>
      </c>
      <c r="I19" s="40">
        <f t="shared" si="20"/>
        <v>0</v>
      </c>
      <c r="J19" s="39">
        <f>SUM(J12:J18)</f>
        <v>-80462</v>
      </c>
      <c r="K19" s="39">
        <f t="shared" ref="K19:M19" si="21">SUM(K12:K18)</f>
        <v>-66005</v>
      </c>
      <c r="L19" s="39">
        <f t="shared" si="21"/>
        <v>-58619</v>
      </c>
      <c r="M19" s="39">
        <f t="shared" si="21"/>
        <v>-131788</v>
      </c>
    </row>
    <row r="20" spans="1:16" x14ac:dyDescent="0.3">
      <c r="B20" s="15"/>
      <c r="C20" s="15"/>
      <c r="D20" s="15"/>
      <c r="E20" s="15"/>
      <c r="F20" s="16"/>
      <c r="G20" s="15"/>
      <c r="H20" s="15"/>
      <c r="I20" s="15"/>
      <c r="J20" s="16"/>
      <c r="K20" s="15"/>
      <c r="L20" s="15"/>
      <c r="M20" s="15"/>
    </row>
    <row r="21" spans="1:16" x14ac:dyDescent="0.3">
      <c r="A21" s="2" t="s">
        <v>58</v>
      </c>
      <c r="B21" s="15">
        <v>43758</v>
      </c>
      <c r="C21" s="15">
        <v>43264</v>
      </c>
      <c r="D21" s="15">
        <v>43155</v>
      </c>
      <c r="E21" s="15">
        <v>43040</v>
      </c>
      <c r="F21" s="16">
        <f t="shared" ref="F21:I24" si="22">SUMIF($B$41:$B$99,$A21,F$41:F$99)</f>
        <v>0</v>
      </c>
      <c r="G21" s="15">
        <f t="shared" si="22"/>
        <v>0</v>
      </c>
      <c r="H21" s="15">
        <f t="shared" si="22"/>
        <v>0</v>
      </c>
      <c r="I21" s="15">
        <f t="shared" si="22"/>
        <v>0</v>
      </c>
      <c r="J21" s="16">
        <f t="shared" ref="J21:J24" si="23">F21+B21</f>
        <v>43758</v>
      </c>
      <c r="K21" s="15">
        <f t="shared" ref="K21:K24" si="24">G21+C21</f>
        <v>43264</v>
      </c>
      <c r="L21" s="15">
        <f t="shared" ref="L21:L24" si="25">H21+D21</f>
        <v>43155</v>
      </c>
      <c r="M21" s="15">
        <f t="shared" ref="M21:M24" si="26">I21+E21</f>
        <v>43040</v>
      </c>
    </row>
    <row r="22" spans="1:16" x14ac:dyDescent="0.3">
      <c r="A22" s="2" t="s">
        <v>59</v>
      </c>
      <c r="B22" s="15">
        <v>-28000</v>
      </c>
      <c r="C22" s="15">
        <v>-28000</v>
      </c>
      <c r="D22" s="15">
        <v>-28000</v>
      </c>
      <c r="E22" s="15">
        <v>-28000</v>
      </c>
      <c r="F22" s="16">
        <f t="shared" si="22"/>
        <v>0</v>
      </c>
      <c r="G22" s="15">
        <f t="shared" si="22"/>
        <v>0</v>
      </c>
      <c r="H22" s="15">
        <f t="shared" si="22"/>
        <v>0</v>
      </c>
      <c r="I22" s="15">
        <f t="shared" si="22"/>
        <v>0</v>
      </c>
      <c r="J22" s="16">
        <f t="shared" si="23"/>
        <v>-28000</v>
      </c>
      <c r="K22" s="15">
        <f t="shared" si="24"/>
        <v>-28000</v>
      </c>
      <c r="L22" s="15">
        <f t="shared" si="25"/>
        <v>-28000</v>
      </c>
      <c r="M22" s="15">
        <f t="shared" si="26"/>
        <v>-28000</v>
      </c>
    </row>
    <row r="23" spans="1:16" x14ac:dyDescent="0.3">
      <c r="A23" s="2" t="s">
        <v>60</v>
      </c>
      <c r="B23" s="15">
        <v>6242</v>
      </c>
      <c r="C23" s="15">
        <v>6736</v>
      </c>
      <c r="D23" s="15">
        <v>6845</v>
      </c>
      <c r="E23" s="15">
        <v>6960</v>
      </c>
      <c r="F23" s="16">
        <f t="shared" si="22"/>
        <v>0</v>
      </c>
      <c r="G23" s="15">
        <f t="shared" si="22"/>
        <v>0</v>
      </c>
      <c r="H23" s="15">
        <f t="shared" si="22"/>
        <v>0</v>
      </c>
      <c r="I23" s="15">
        <f t="shared" si="22"/>
        <v>0</v>
      </c>
      <c r="J23" s="16">
        <f t="shared" si="23"/>
        <v>6242</v>
      </c>
      <c r="K23" s="15">
        <f t="shared" si="24"/>
        <v>6736</v>
      </c>
      <c r="L23" s="15">
        <f t="shared" si="25"/>
        <v>6845</v>
      </c>
      <c r="M23" s="15">
        <f t="shared" si="26"/>
        <v>6960</v>
      </c>
      <c r="P23" s="65"/>
    </row>
    <row r="24" spans="1:16" x14ac:dyDescent="0.3">
      <c r="A24" s="2" t="s">
        <v>61</v>
      </c>
      <c r="B24" s="15">
        <v>-22000</v>
      </c>
      <c r="C24" s="15">
        <v>-22000</v>
      </c>
      <c r="D24" s="15">
        <v>-22000</v>
      </c>
      <c r="E24" s="15">
        <v>-22000</v>
      </c>
      <c r="F24" s="16">
        <f t="shared" si="22"/>
        <v>0</v>
      </c>
      <c r="G24" s="15">
        <f t="shared" si="22"/>
        <v>0</v>
      </c>
      <c r="H24" s="15">
        <f t="shared" si="22"/>
        <v>0</v>
      </c>
      <c r="I24" s="15">
        <f t="shared" si="22"/>
        <v>0</v>
      </c>
      <c r="J24" s="16">
        <f t="shared" si="23"/>
        <v>-22000</v>
      </c>
      <c r="K24" s="15">
        <f t="shared" si="24"/>
        <v>-22000</v>
      </c>
      <c r="L24" s="15">
        <f t="shared" si="25"/>
        <v>-22000</v>
      </c>
      <c r="M24" s="15">
        <f t="shared" si="26"/>
        <v>-22000</v>
      </c>
    </row>
    <row r="25" spans="1:16" x14ac:dyDescent="0.3">
      <c r="A25" s="35" t="s">
        <v>62</v>
      </c>
      <c r="B25" s="36">
        <f>SUM(B21:B24)</f>
        <v>0</v>
      </c>
      <c r="C25" s="36">
        <f t="shared" ref="C25:E25" si="27">SUM(C21:C24)</f>
        <v>0</v>
      </c>
      <c r="D25" s="36">
        <f t="shared" si="27"/>
        <v>0</v>
      </c>
      <c r="E25" s="36">
        <f t="shared" si="27"/>
        <v>0</v>
      </c>
      <c r="F25" s="38">
        <f>SUM(F21:F24)</f>
        <v>0</v>
      </c>
      <c r="G25" s="39">
        <f t="shared" ref="G25:I25" si="28">SUM(G21:G24)</f>
        <v>0</v>
      </c>
      <c r="H25" s="39">
        <f t="shared" si="28"/>
        <v>0</v>
      </c>
      <c r="I25" s="40">
        <f t="shared" si="28"/>
        <v>0</v>
      </c>
      <c r="J25" s="39">
        <f>SUM(J21:J24)</f>
        <v>0</v>
      </c>
      <c r="K25" s="39">
        <f t="shared" ref="K25:M25" si="29">SUM(K21:K24)</f>
        <v>0</v>
      </c>
      <c r="L25" s="39">
        <f t="shared" si="29"/>
        <v>0</v>
      </c>
      <c r="M25" s="39">
        <f t="shared" si="29"/>
        <v>0</v>
      </c>
    </row>
    <row r="26" spans="1:16" x14ac:dyDescent="0.3">
      <c r="B26" s="15"/>
      <c r="C26" s="15"/>
      <c r="D26" s="15"/>
      <c r="E26" s="15"/>
      <c r="F26" s="16"/>
      <c r="G26" s="15"/>
      <c r="H26" s="15"/>
      <c r="I26" s="15"/>
      <c r="J26" s="16"/>
      <c r="K26" s="15"/>
      <c r="L26" s="15"/>
      <c r="M26" s="15"/>
    </row>
    <row r="27" spans="1:16" x14ac:dyDescent="0.3">
      <c r="A27" s="2" t="s">
        <v>63</v>
      </c>
      <c r="B27" s="15">
        <v>-14319</v>
      </c>
      <c r="C27" s="15">
        <v>-8609</v>
      </c>
      <c r="D27" s="15">
        <v>-17870</v>
      </c>
      <c r="E27" s="15">
        <v>-23889</v>
      </c>
      <c r="F27" s="16">
        <f t="shared" ref="F27:I30" si="30">SUMIF($B$41:$B$99,$A27,F$41:F$99)</f>
        <v>0</v>
      </c>
      <c r="G27" s="15">
        <f t="shared" si="30"/>
        <v>0</v>
      </c>
      <c r="H27" s="15">
        <f t="shared" si="30"/>
        <v>0</v>
      </c>
      <c r="I27" s="15">
        <f t="shared" si="30"/>
        <v>0</v>
      </c>
      <c r="J27" s="16">
        <f t="shared" ref="J27:J30" si="31">F27+B27</f>
        <v>-14319</v>
      </c>
      <c r="K27" s="15">
        <f t="shared" ref="K27:K30" si="32">G27+C27</f>
        <v>-8609</v>
      </c>
      <c r="L27" s="15">
        <f t="shared" ref="L27:L30" si="33">H27+D27</f>
        <v>-17870</v>
      </c>
      <c r="M27" s="15">
        <f t="shared" ref="M27:M30" si="34">I27+E27</f>
        <v>-23889</v>
      </c>
    </row>
    <row r="28" spans="1:16" x14ac:dyDescent="0.3">
      <c r="A28" s="2" t="s">
        <v>64</v>
      </c>
      <c r="B28" s="15">
        <v>0</v>
      </c>
      <c r="C28" s="15">
        <v>0</v>
      </c>
      <c r="D28" s="15">
        <v>0</v>
      </c>
      <c r="E28" s="15">
        <v>0</v>
      </c>
      <c r="F28" s="16">
        <f t="shared" si="30"/>
        <v>0</v>
      </c>
      <c r="G28" s="15">
        <f t="shared" si="30"/>
        <v>0</v>
      </c>
      <c r="H28" s="15">
        <f t="shared" si="30"/>
        <v>0</v>
      </c>
      <c r="I28" s="15">
        <f t="shared" si="30"/>
        <v>0</v>
      </c>
      <c r="J28" s="16">
        <f t="shared" si="31"/>
        <v>0</v>
      </c>
      <c r="K28" s="15">
        <f t="shared" si="32"/>
        <v>0</v>
      </c>
      <c r="L28" s="15">
        <f t="shared" si="33"/>
        <v>0</v>
      </c>
      <c r="M28" s="15">
        <f t="shared" si="34"/>
        <v>0</v>
      </c>
    </row>
    <row r="29" spans="1:16" x14ac:dyDescent="0.3">
      <c r="A29" s="2" t="s">
        <v>65</v>
      </c>
      <c r="B29" s="15">
        <v>0</v>
      </c>
      <c r="C29" s="15">
        <v>0</v>
      </c>
      <c r="D29" s="15">
        <v>0</v>
      </c>
      <c r="E29" s="15">
        <v>0</v>
      </c>
      <c r="F29" s="16">
        <f t="shared" si="30"/>
        <v>0</v>
      </c>
      <c r="G29" s="15">
        <f t="shared" si="30"/>
        <v>0</v>
      </c>
      <c r="H29" s="15">
        <f t="shared" si="30"/>
        <v>0</v>
      </c>
      <c r="I29" s="15">
        <f t="shared" si="30"/>
        <v>0</v>
      </c>
      <c r="J29" s="16">
        <f t="shared" si="31"/>
        <v>0</v>
      </c>
      <c r="K29" s="15">
        <f t="shared" si="32"/>
        <v>0</v>
      </c>
      <c r="L29" s="15">
        <f t="shared" si="33"/>
        <v>0</v>
      </c>
      <c r="M29" s="15">
        <f t="shared" si="34"/>
        <v>0</v>
      </c>
    </row>
    <row r="30" spans="1:16" x14ac:dyDescent="0.3">
      <c r="A30" s="2" t="s">
        <v>66</v>
      </c>
      <c r="B30" s="15">
        <v>0</v>
      </c>
      <c r="C30" s="15">
        <v>0</v>
      </c>
      <c r="D30" s="15">
        <v>0</v>
      </c>
      <c r="E30" s="15">
        <v>0</v>
      </c>
      <c r="F30" s="16">
        <f t="shared" si="30"/>
        <v>0</v>
      </c>
      <c r="G30" s="15">
        <f t="shared" si="30"/>
        <v>0</v>
      </c>
      <c r="H30" s="15">
        <f t="shared" si="30"/>
        <v>0</v>
      </c>
      <c r="I30" s="15">
        <f t="shared" si="30"/>
        <v>0</v>
      </c>
      <c r="J30" s="16">
        <f t="shared" si="31"/>
        <v>0</v>
      </c>
      <c r="K30" s="15">
        <f t="shared" si="32"/>
        <v>0</v>
      </c>
      <c r="L30" s="15">
        <f t="shared" si="33"/>
        <v>0</v>
      </c>
      <c r="M30" s="15">
        <f t="shared" si="34"/>
        <v>0</v>
      </c>
    </row>
    <row r="31" spans="1:16" x14ac:dyDescent="0.3">
      <c r="A31" s="35" t="s">
        <v>67</v>
      </c>
      <c r="B31" s="36">
        <f t="shared" ref="B31:E31" si="35">SUM(B27:B30)</f>
        <v>-14319</v>
      </c>
      <c r="C31" s="36">
        <f t="shared" si="35"/>
        <v>-8609</v>
      </c>
      <c r="D31" s="36">
        <f t="shared" si="35"/>
        <v>-17870</v>
      </c>
      <c r="E31" s="36">
        <f t="shared" si="35"/>
        <v>-23889</v>
      </c>
      <c r="F31" s="38">
        <f>SUM(F27:F30)</f>
        <v>0</v>
      </c>
      <c r="G31" s="39">
        <f t="shared" ref="G31:I31" si="36">SUM(G27:G30)</f>
        <v>0</v>
      </c>
      <c r="H31" s="39">
        <f t="shared" si="36"/>
        <v>0</v>
      </c>
      <c r="I31" s="40">
        <f t="shared" si="36"/>
        <v>0</v>
      </c>
      <c r="J31" s="39">
        <f>SUM(J27:J30)</f>
        <v>-14319</v>
      </c>
      <c r="K31" s="39">
        <f t="shared" ref="K31:M31" si="37">SUM(K27:K30)</f>
        <v>-8609</v>
      </c>
      <c r="L31" s="39">
        <f t="shared" si="37"/>
        <v>-17870</v>
      </c>
      <c r="M31" s="39">
        <f t="shared" si="37"/>
        <v>-23889</v>
      </c>
    </row>
    <row r="32" spans="1:16" x14ac:dyDescent="0.3">
      <c r="B32" s="15"/>
      <c r="C32" s="15"/>
      <c r="D32" s="15"/>
      <c r="E32" s="15"/>
      <c r="F32" s="16"/>
      <c r="G32" s="15"/>
      <c r="H32" s="15"/>
      <c r="I32" s="15"/>
      <c r="J32" s="16"/>
      <c r="K32" s="15"/>
      <c r="L32" s="15"/>
      <c r="M32" s="15"/>
    </row>
    <row r="33" spans="1:13" x14ac:dyDescent="0.3">
      <c r="A33" s="2" t="s">
        <v>68</v>
      </c>
      <c r="B33" s="15">
        <f>B31+B25+B19+B10</f>
        <v>0</v>
      </c>
      <c r="C33" s="15">
        <f t="shared" ref="C33:M33" si="38">C31+C25+C19+C10</f>
        <v>0</v>
      </c>
      <c r="D33" s="15">
        <f t="shared" si="38"/>
        <v>0</v>
      </c>
      <c r="E33" s="15">
        <f t="shared" si="38"/>
        <v>0</v>
      </c>
      <c r="F33" s="16">
        <f t="shared" si="38"/>
        <v>0</v>
      </c>
      <c r="G33" s="15">
        <f t="shared" si="38"/>
        <v>0</v>
      </c>
      <c r="H33" s="15">
        <f t="shared" si="38"/>
        <v>0</v>
      </c>
      <c r="I33" s="15">
        <f t="shared" si="38"/>
        <v>0</v>
      </c>
      <c r="J33" s="16">
        <f t="shared" si="38"/>
        <v>0</v>
      </c>
      <c r="K33" s="15">
        <f t="shared" si="38"/>
        <v>0</v>
      </c>
      <c r="L33" s="15">
        <f t="shared" si="38"/>
        <v>0</v>
      </c>
      <c r="M33" s="15">
        <f t="shared" si="38"/>
        <v>0</v>
      </c>
    </row>
    <row r="34" spans="1:13" x14ac:dyDescent="0.3">
      <c r="A34" s="2" t="s">
        <v>164</v>
      </c>
      <c r="B34" s="28">
        <f>B18/B10+1</f>
        <v>0.39823382323461454</v>
      </c>
      <c r="C34" s="28">
        <f t="shared" ref="C34:E34" si="39">C18/C10+1</f>
        <v>0.37222237113678402</v>
      </c>
      <c r="D34" s="28">
        <f t="shared" si="39"/>
        <v>0.48907686072507162</v>
      </c>
      <c r="E34" s="28">
        <f t="shared" si="39"/>
        <v>0.49022013528009922</v>
      </c>
      <c r="F34" s="65"/>
      <c r="G34" s="65"/>
      <c r="H34" s="65"/>
      <c r="I34" s="65"/>
      <c r="J34" s="28">
        <f>J18/J10+1</f>
        <v>0.39823382323461454</v>
      </c>
      <c r="K34" s="28">
        <f t="shared" ref="K34:M34" si="40">K18/K10+1</f>
        <v>0.37222237113678402</v>
      </c>
      <c r="L34" s="28">
        <f t="shared" si="40"/>
        <v>0.48907686072507162</v>
      </c>
      <c r="M34" s="28">
        <f t="shared" si="40"/>
        <v>0.49022013528009922</v>
      </c>
    </row>
    <row r="35" spans="1:13" ht="17.25" customHeight="1" x14ac:dyDescent="0.3">
      <c r="B35" s="4"/>
      <c r="C35" s="4"/>
    </row>
    <row r="36" spans="1:13" x14ac:dyDescent="0.3">
      <c r="A36" s="2" t="s">
        <v>69</v>
      </c>
      <c r="D36" s="3"/>
      <c r="E36" s="3"/>
      <c r="F36" s="3"/>
      <c r="G36" s="3"/>
    </row>
    <row r="37" spans="1:13" x14ac:dyDescent="0.3">
      <c r="A37" s="2" t="s">
        <v>70</v>
      </c>
      <c r="D37" s="3"/>
      <c r="E37" s="3"/>
      <c r="F37" s="3"/>
      <c r="G37" s="3"/>
    </row>
    <row r="38" spans="1:13" x14ac:dyDescent="0.3">
      <c r="A38" s="2" t="s">
        <v>38</v>
      </c>
      <c r="D38" s="3"/>
      <c r="E38" s="3"/>
      <c r="F38" s="3"/>
      <c r="G38" s="3"/>
    </row>
    <row r="39" spans="1:13" x14ac:dyDescent="0.3">
      <c r="D39" s="3"/>
      <c r="E39" s="3"/>
      <c r="F39" s="19">
        <v>2026</v>
      </c>
      <c r="G39" s="19">
        <v>2027</v>
      </c>
      <c r="H39" s="19">
        <v>2028</v>
      </c>
      <c r="I39" s="19">
        <v>2029</v>
      </c>
    </row>
    <row r="40" spans="1:13" ht="17.25" x14ac:dyDescent="0.35">
      <c r="A40" s="20" t="s">
        <v>40</v>
      </c>
      <c r="B40" s="116" t="s">
        <v>41</v>
      </c>
      <c r="C40" s="116"/>
      <c r="D40" s="116"/>
      <c r="E40" s="116"/>
      <c r="F40" s="116" t="s">
        <v>71</v>
      </c>
      <c r="G40" s="116"/>
      <c r="H40" s="116"/>
      <c r="I40" s="116"/>
    </row>
    <row r="41" spans="1:13" x14ac:dyDescent="0.3">
      <c r="A41" s="21"/>
      <c r="B41" s="23" t="s">
        <v>56</v>
      </c>
      <c r="C41" s="24"/>
      <c r="D41" s="24"/>
      <c r="E41" s="25"/>
      <c r="F41" s="22">
        <f>SUM(F42:F86)*-1</f>
        <v>0</v>
      </c>
      <c r="G41" s="18">
        <f t="shared" ref="G41:I41" si="41">SUM(G42:G86)*-1</f>
        <v>0</v>
      </c>
      <c r="H41" s="18">
        <f t="shared" si="41"/>
        <v>0</v>
      </c>
      <c r="I41" s="18">
        <f t="shared" si="41"/>
        <v>0</v>
      </c>
    </row>
    <row r="42" spans="1:13" x14ac:dyDescent="0.3">
      <c r="A42" s="21"/>
      <c r="B42" s="23" t="s">
        <v>63</v>
      </c>
      <c r="C42" s="24"/>
      <c r="D42" s="24"/>
      <c r="E42" s="25"/>
      <c r="F42" s="22">
        <f>'NYE DRIFTSTILTAK'!F33*-1</f>
        <v>0</v>
      </c>
      <c r="G42" s="18">
        <f>'NYE DRIFTSTILTAK'!G33*-1</f>
        <v>0</v>
      </c>
      <c r="H42" s="18">
        <f>'NYE DRIFTSTILTAK'!H33*-1</f>
        <v>0</v>
      </c>
      <c r="I42" s="18">
        <f>'NYE DRIFTSTILTAK'!I33*-1</f>
        <v>0</v>
      </c>
    </row>
    <row r="43" spans="1:13" x14ac:dyDescent="0.3">
      <c r="A43" s="32"/>
      <c r="B43" s="118"/>
      <c r="C43" s="119"/>
      <c r="D43" s="119"/>
      <c r="E43" s="120"/>
      <c r="F43" s="33"/>
      <c r="G43" s="33"/>
      <c r="H43" s="33"/>
      <c r="I43" s="33"/>
    </row>
    <row r="44" spans="1:13" x14ac:dyDescent="0.3">
      <c r="A44" s="32" t="str">
        <f t="shared" ref="A44:A50" si="42">IF(B43="Lønnsutgifter",A43&amp;", "&amp;LOWER(B44),"")</f>
        <v/>
      </c>
      <c r="B44" s="118"/>
      <c r="C44" s="119"/>
      <c r="D44" s="119"/>
      <c r="E44" s="120"/>
      <c r="F44" s="33"/>
      <c r="G44" s="33"/>
      <c r="H44" s="33"/>
      <c r="I44" s="33"/>
    </row>
    <row r="45" spans="1:13" x14ac:dyDescent="0.3">
      <c r="A45" s="32" t="str">
        <f t="shared" si="42"/>
        <v/>
      </c>
      <c r="B45" s="118" t="str">
        <f t="shared" ref="B45:B50" si="43">IF(A45="","","Investeringer i varige driftsmidler")</f>
        <v/>
      </c>
      <c r="C45" s="119"/>
      <c r="D45" s="119"/>
      <c r="E45" s="120"/>
      <c r="F45" s="33"/>
      <c r="G45" s="33"/>
      <c r="H45" s="33"/>
      <c r="I45" s="33"/>
    </row>
    <row r="46" spans="1:13" x14ac:dyDescent="0.3">
      <c r="A46" s="32" t="str">
        <f t="shared" si="42"/>
        <v/>
      </c>
      <c r="B46" s="118"/>
      <c r="C46" s="119"/>
      <c r="D46" s="119"/>
      <c r="E46" s="120"/>
      <c r="F46" s="33"/>
      <c r="G46" s="33"/>
      <c r="H46" s="33"/>
      <c r="I46" s="33"/>
    </row>
    <row r="47" spans="1:13" x14ac:dyDescent="0.3">
      <c r="A47" s="32" t="str">
        <f t="shared" si="42"/>
        <v/>
      </c>
      <c r="B47" s="118" t="str">
        <f t="shared" si="43"/>
        <v/>
      </c>
      <c r="C47" s="119"/>
      <c r="D47" s="119"/>
      <c r="E47" s="120"/>
      <c r="F47" s="33"/>
      <c r="G47" s="33"/>
      <c r="H47" s="33"/>
      <c r="I47" s="33"/>
    </row>
    <row r="48" spans="1:13" x14ac:dyDescent="0.3">
      <c r="A48" s="32" t="str">
        <f t="shared" si="42"/>
        <v/>
      </c>
      <c r="B48" s="118" t="str">
        <f t="shared" si="43"/>
        <v/>
      </c>
      <c r="C48" s="119"/>
      <c r="D48" s="119"/>
      <c r="E48" s="120"/>
      <c r="F48" s="33"/>
      <c r="G48" s="33"/>
      <c r="H48" s="33"/>
      <c r="I48" s="33"/>
    </row>
    <row r="49" spans="1:9" x14ac:dyDescent="0.3">
      <c r="A49" s="32" t="str">
        <f t="shared" si="42"/>
        <v/>
      </c>
      <c r="B49" s="118" t="str">
        <f t="shared" si="43"/>
        <v/>
      </c>
      <c r="C49" s="119"/>
      <c r="D49" s="119"/>
      <c r="E49" s="120"/>
      <c r="F49" s="33"/>
      <c r="G49" s="33"/>
      <c r="H49" s="33"/>
      <c r="I49" s="33"/>
    </row>
    <row r="50" spans="1:9" x14ac:dyDescent="0.3">
      <c r="A50" s="32" t="str">
        <f t="shared" si="42"/>
        <v/>
      </c>
      <c r="B50" s="118" t="str">
        <f t="shared" si="43"/>
        <v/>
      </c>
      <c r="C50" s="119"/>
      <c r="D50" s="119"/>
      <c r="E50" s="120"/>
      <c r="F50" s="33"/>
      <c r="G50" s="33"/>
      <c r="H50" s="33"/>
      <c r="I50" s="33"/>
    </row>
    <row r="51" spans="1:9" x14ac:dyDescent="0.3">
      <c r="A51" s="32" t="str">
        <f t="shared" ref="A51:A59" si="44">IF(B50="Lønnsutgifter",A50&amp;", "&amp;LOWER(B51),"")</f>
        <v/>
      </c>
      <c r="B51" s="118" t="str">
        <f t="shared" ref="B51:B81" si="45">IF(A51="","","Investeringer i varige driftsmidler")</f>
        <v/>
      </c>
      <c r="C51" s="119"/>
      <c r="D51" s="119"/>
      <c r="E51" s="120"/>
      <c r="F51" s="33"/>
      <c r="G51" s="33"/>
      <c r="H51" s="33"/>
      <c r="I51" s="33"/>
    </row>
    <row r="52" spans="1:9" x14ac:dyDescent="0.3">
      <c r="A52" s="32" t="str">
        <f t="shared" si="44"/>
        <v/>
      </c>
      <c r="B52" s="118" t="str">
        <f t="shared" si="45"/>
        <v/>
      </c>
      <c r="C52" s="119"/>
      <c r="D52" s="119"/>
      <c r="E52" s="120"/>
      <c r="F52" s="33"/>
      <c r="G52" s="33"/>
      <c r="H52" s="33"/>
      <c r="I52" s="33"/>
    </row>
    <row r="53" spans="1:9" x14ac:dyDescent="0.3">
      <c r="A53" s="32" t="str">
        <f t="shared" si="44"/>
        <v/>
      </c>
      <c r="B53" s="118" t="str">
        <f t="shared" si="45"/>
        <v/>
      </c>
      <c r="C53" s="119"/>
      <c r="D53" s="119"/>
      <c r="E53" s="120"/>
      <c r="F53" s="33"/>
      <c r="G53" s="33"/>
      <c r="H53" s="33"/>
      <c r="I53" s="33"/>
    </row>
    <row r="54" spans="1:9" x14ac:dyDescent="0.3">
      <c r="A54" s="32" t="str">
        <f t="shared" si="44"/>
        <v/>
      </c>
      <c r="B54" s="118" t="str">
        <f t="shared" si="45"/>
        <v/>
      </c>
      <c r="C54" s="119"/>
      <c r="D54" s="119"/>
      <c r="E54" s="120"/>
      <c r="F54" s="33"/>
      <c r="G54" s="33"/>
      <c r="H54" s="33"/>
      <c r="I54" s="33"/>
    </row>
    <row r="55" spans="1:9" x14ac:dyDescent="0.3">
      <c r="A55" s="32" t="str">
        <f t="shared" si="44"/>
        <v/>
      </c>
      <c r="B55" s="118" t="str">
        <f t="shared" si="45"/>
        <v/>
      </c>
      <c r="C55" s="119"/>
      <c r="D55" s="119"/>
      <c r="E55" s="120"/>
      <c r="F55" s="33"/>
      <c r="G55" s="33"/>
      <c r="H55" s="33"/>
      <c r="I55" s="33"/>
    </row>
    <row r="56" spans="1:9" x14ac:dyDescent="0.3">
      <c r="A56" s="32" t="str">
        <f t="shared" si="44"/>
        <v/>
      </c>
      <c r="B56" s="118" t="str">
        <f t="shared" si="45"/>
        <v/>
      </c>
      <c r="C56" s="119"/>
      <c r="D56" s="119"/>
      <c r="E56" s="120"/>
      <c r="F56" s="33"/>
      <c r="G56" s="33"/>
      <c r="H56" s="33"/>
      <c r="I56" s="33"/>
    </row>
    <row r="57" spans="1:9" x14ac:dyDescent="0.3">
      <c r="A57" s="32" t="str">
        <f t="shared" si="44"/>
        <v/>
      </c>
      <c r="B57" s="118" t="str">
        <f t="shared" si="45"/>
        <v/>
      </c>
      <c r="C57" s="119"/>
      <c r="D57" s="119"/>
      <c r="E57" s="120"/>
      <c r="F57" s="33"/>
      <c r="G57" s="33"/>
      <c r="H57" s="33"/>
      <c r="I57" s="33"/>
    </row>
    <row r="58" spans="1:9" x14ac:dyDescent="0.3">
      <c r="A58" s="32" t="str">
        <f t="shared" si="44"/>
        <v/>
      </c>
      <c r="B58" s="118" t="str">
        <f t="shared" si="45"/>
        <v/>
      </c>
      <c r="C58" s="119"/>
      <c r="D58" s="119"/>
      <c r="E58" s="120"/>
      <c r="F58" s="33"/>
      <c r="G58" s="33"/>
      <c r="H58" s="33"/>
      <c r="I58" s="33"/>
    </row>
    <row r="59" spans="1:9" x14ac:dyDescent="0.3">
      <c r="A59" s="32" t="str">
        <f t="shared" si="44"/>
        <v/>
      </c>
      <c r="B59" s="118" t="str">
        <f t="shared" si="45"/>
        <v/>
      </c>
      <c r="C59" s="119"/>
      <c r="D59" s="119"/>
      <c r="E59" s="120"/>
      <c r="F59" s="33"/>
      <c r="G59" s="33"/>
      <c r="H59" s="33"/>
      <c r="I59" s="33"/>
    </row>
    <row r="60" spans="1:9" x14ac:dyDescent="0.3">
      <c r="A60" s="32" t="str">
        <f t="shared" ref="A60:A81" si="46">IF(B59="Lønnsutgifter",A59&amp;", "&amp;LOWER(B60),"")</f>
        <v/>
      </c>
      <c r="B60" s="118" t="str">
        <f t="shared" si="45"/>
        <v/>
      </c>
      <c r="C60" s="119"/>
      <c r="D60" s="119"/>
      <c r="E60" s="120"/>
      <c r="F60" s="33"/>
      <c r="G60" s="33"/>
      <c r="H60" s="33"/>
      <c r="I60" s="33"/>
    </row>
    <row r="61" spans="1:9" x14ac:dyDescent="0.3">
      <c r="A61" s="32" t="str">
        <f t="shared" si="46"/>
        <v/>
      </c>
      <c r="B61" s="118" t="str">
        <f t="shared" si="45"/>
        <v/>
      </c>
      <c r="C61" s="119"/>
      <c r="D61" s="119"/>
      <c r="E61" s="120"/>
      <c r="F61" s="33"/>
      <c r="G61" s="33"/>
      <c r="H61" s="33"/>
      <c r="I61" s="33"/>
    </row>
    <row r="62" spans="1:9" x14ac:dyDescent="0.3">
      <c r="A62" s="32" t="str">
        <f t="shared" si="46"/>
        <v/>
      </c>
      <c r="B62" s="118" t="str">
        <f t="shared" si="45"/>
        <v/>
      </c>
      <c r="C62" s="119"/>
      <c r="D62" s="119"/>
      <c r="E62" s="120"/>
      <c r="F62" s="33"/>
      <c r="G62" s="33"/>
      <c r="H62" s="33"/>
      <c r="I62" s="33"/>
    </row>
    <row r="63" spans="1:9" x14ac:dyDescent="0.3">
      <c r="A63" s="32" t="str">
        <f t="shared" si="46"/>
        <v/>
      </c>
      <c r="B63" s="118" t="str">
        <f t="shared" si="45"/>
        <v/>
      </c>
      <c r="C63" s="119"/>
      <c r="D63" s="119"/>
      <c r="E63" s="120"/>
      <c r="F63" s="33"/>
      <c r="G63" s="33"/>
      <c r="H63" s="33"/>
      <c r="I63" s="33"/>
    </row>
    <row r="64" spans="1:9" x14ac:dyDescent="0.3">
      <c r="A64" s="32" t="str">
        <f t="shared" si="46"/>
        <v/>
      </c>
      <c r="B64" s="118" t="str">
        <f t="shared" si="45"/>
        <v/>
      </c>
      <c r="C64" s="119"/>
      <c r="D64" s="119"/>
      <c r="E64" s="120"/>
      <c r="F64" s="33"/>
      <c r="G64" s="33"/>
      <c r="H64" s="33"/>
      <c r="I64" s="33"/>
    </row>
    <row r="65" spans="1:9" x14ac:dyDescent="0.3">
      <c r="A65" s="32" t="str">
        <f t="shared" si="46"/>
        <v/>
      </c>
      <c r="B65" s="118" t="str">
        <f t="shared" si="45"/>
        <v/>
      </c>
      <c r="C65" s="119"/>
      <c r="D65" s="119"/>
      <c r="E65" s="120"/>
      <c r="F65" s="33"/>
      <c r="G65" s="33"/>
      <c r="H65" s="33"/>
      <c r="I65" s="33"/>
    </row>
    <row r="66" spans="1:9" x14ac:dyDescent="0.3">
      <c r="A66" s="32" t="str">
        <f t="shared" si="46"/>
        <v/>
      </c>
      <c r="B66" s="118" t="str">
        <f t="shared" si="45"/>
        <v/>
      </c>
      <c r="C66" s="119"/>
      <c r="D66" s="119"/>
      <c r="E66" s="120"/>
      <c r="F66" s="33"/>
      <c r="G66" s="33"/>
      <c r="H66" s="33"/>
      <c r="I66" s="33"/>
    </row>
    <row r="67" spans="1:9" x14ac:dyDescent="0.3">
      <c r="A67" s="32" t="str">
        <f t="shared" si="46"/>
        <v/>
      </c>
      <c r="B67" s="118" t="str">
        <f t="shared" si="45"/>
        <v/>
      </c>
      <c r="C67" s="119"/>
      <c r="D67" s="119"/>
      <c r="E67" s="120"/>
      <c r="F67" s="33"/>
      <c r="G67" s="33"/>
      <c r="H67" s="33"/>
      <c r="I67" s="33"/>
    </row>
    <row r="68" spans="1:9" x14ac:dyDescent="0.3">
      <c r="A68" s="32" t="str">
        <f t="shared" si="46"/>
        <v/>
      </c>
      <c r="B68" s="118" t="str">
        <f t="shared" si="45"/>
        <v/>
      </c>
      <c r="C68" s="119"/>
      <c r="D68" s="119"/>
      <c r="E68" s="120"/>
      <c r="F68" s="33"/>
      <c r="G68" s="33"/>
      <c r="H68" s="33"/>
      <c r="I68" s="33"/>
    </row>
    <row r="69" spans="1:9" x14ac:dyDescent="0.3">
      <c r="A69" s="32" t="str">
        <f t="shared" si="46"/>
        <v/>
      </c>
      <c r="B69" s="118" t="str">
        <f t="shared" si="45"/>
        <v/>
      </c>
      <c r="C69" s="119"/>
      <c r="D69" s="119"/>
      <c r="E69" s="120"/>
      <c r="F69" s="33"/>
      <c r="G69" s="33"/>
      <c r="H69" s="33"/>
      <c r="I69" s="33"/>
    </row>
    <row r="70" spans="1:9" x14ac:dyDescent="0.3">
      <c r="A70" s="32" t="str">
        <f t="shared" si="46"/>
        <v/>
      </c>
      <c r="B70" s="118" t="str">
        <f t="shared" si="45"/>
        <v/>
      </c>
      <c r="C70" s="119"/>
      <c r="D70" s="119"/>
      <c r="E70" s="120"/>
      <c r="F70" s="33"/>
      <c r="G70" s="33"/>
      <c r="H70" s="33"/>
      <c r="I70" s="33"/>
    </row>
    <row r="71" spans="1:9" x14ac:dyDescent="0.3">
      <c r="A71" s="32" t="str">
        <f t="shared" si="46"/>
        <v/>
      </c>
      <c r="B71" s="118" t="str">
        <f t="shared" si="45"/>
        <v/>
      </c>
      <c r="C71" s="119"/>
      <c r="D71" s="119"/>
      <c r="E71" s="120"/>
      <c r="F71" s="33"/>
      <c r="G71" s="33"/>
      <c r="H71" s="33"/>
      <c r="I71" s="33"/>
    </row>
    <row r="72" spans="1:9" x14ac:dyDescent="0.3">
      <c r="A72" s="32" t="str">
        <f t="shared" si="46"/>
        <v/>
      </c>
      <c r="B72" s="118" t="str">
        <f t="shared" si="45"/>
        <v/>
      </c>
      <c r="C72" s="119"/>
      <c r="D72" s="119"/>
      <c r="E72" s="120"/>
      <c r="F72" s="33"/>
      <c r="G72" s="33"/>
      <c r="H72" s="33"/>
      <c r="I72" s="33"/>
    </row>
    <row r="73" spans="1:9" x14ac:dyDescent="0.3">
      <c r="A73" s="32" t="str">
        <f t="shared" si="46"/>
        <v/>
      </c>
      <c r="B73" s="118" t="str">
        <f t="shared" si="45"/>
        <v/>
      </c>
      <c r="C73" s="119"/>
      <c r="D73" s="119"/>
      <c r="E73" s="120"/>
      <c r="F73" s="33"/>
      <c r="G73" s="33"/>
      <c r="H73" s="33"/>
      <c r="I73" s="33"/>
    </row>
    <row r="74" spans="1:9" x14ac:dyDescent="0.3">
      <c r="A74" s="32" t="str">
        <f t="shared" si="46"/>
        <v/>
      </c>
      <c r="B74" s="118" t="str">
        <f t="shared" si="45"/>
        <v/>
      </c>
      <c r="C74" s="119"/>
      <c r="D74" s="119"/>
      <c r="E74" s="120"/>
      <c r="F74" s="33"/>
      <c r="G74" s="33"/>
      <c r="H74" s="33"/>
      <c r="I74" s="33"/>
    </row>
    <row r="75" spans="1:9" x14ac:dyDescent="0.3">
      <c r="A75" s="32" t="str">
        <f t="shared" si="46"/>
        <v/>
      </c>
      <c r="B75" s="118" t="str">
        <f t="shared" si="45"/>
        <v/>
      </c>
      <c r="C75" s="119"/>
      <c r="D75" s="119"/>
      <c r="E75" s="120"/>
      <c r="F75" s="33"/>
      <c r="G75" s="33"/>
      <c r="H75" s="33"/>
      <c r="I75" s="33"/>
    </row>
    <row r="76" spans="1:9" x14ac:dyDescent="0.3">
      <c r="A76" s="32" t="str">
        <f t="shared" si="46"/>
        <v/>
      </c>
      <c r="B76" s="118" t="str">
        <f t="shared" si="45"/>
        <v/>
      </c>
      <c r="C76" s="119"/>
      <c r="D76" s="119"/>
      <c r="E76" s="120"/>
      <c r="F76" s="33"/>
      <c r="G76" s="33"/>
      <c r="H76" s="33"/>
      <c r="I76" s="33"/>
    </row>
    <row r="77" spans="1:9" x14ac:dyDescent="0.3">
      <c r="A77" s="32" t="str">
        <f t="shared" si="46"/>
        <v/>
      </c>
      <c r="B77" s="118" t="str">
        <f t="shared" si="45"/>
        <v/>
      </c>
      <c r="C77" s="119"/>
      <c r="D77" s="119"/>
      <c r="E77" s="120"/>
      <c r="F77" s="33"/>
      <c r="G77" s="33"/>
      <c r="H77" s="33"/>
      <c r="I77" s="33"/>
    </row>
    <row r="78" spans="1:9" x14ac:dyDescent="0.3">
      <c r="A78" s="32" t="str">
        <f t="shared" si="46"/>
        <v/>
      </c>
      <c r="B78" s="118" t="str">
        <f t="shared" si="45"/>
        <v/>
      </c>
      <c r="C78" s="119"/>
      <c r="D78" s="119"/>
      <c r="E78" s="120"/>
      <c r="F78" s="33"/>
      <c r="G78" s="33"/>
      <c r="H78" s="33"/>
      <c r="I78" s="33"/>
    </row>
    <row r="79" spans="1:9" x14ac:dyDescent="0.3">
      <c r="A79" s="32" t="str">
        <f t="shared" si="46"/>
        <v/>
      </c>
      <c r="B79" s="118" t="str">
        <f t="shared" si="45"/>
        <v/>
      </c>
      <c r="C79" s="119"/>
      <c r="D79" s="119"/>
      <c r="E79" s="120"/>
      <c r="F79" s="33"/>
      <c r="G79" s="33"/>
      <c r="H79" s="33"/>
      <c r="I79" s="33"/>
    </row>
    <row r="80" spans="1:9" x14ac:dyDescent="0.3">
      <c r="A80" s="32" t="str">
        <f t="shared" si="46"/>
        <v/>
      </c>
      <c r="B80" s="118" t="str">
        <f t="shared" si="45"/>
        <v/>
      </c>
      <c r="C80" s="119"/>
      <c r="D80" s="119"/>
      <c r="E80" s="120"/>
      <c r="F80" s="33"/>
      <c r="G80" s="33"/>
      <c r="H80" s="33"/>
      <c r="I80" s="33"/>
    </row>
    <row r="81" spans="1:9" x14ac:dyDescent="0.3">
      <c r="A81" s="32" t="str">
        <f t="shared" si="46"/>
        <v/>
      </c>
      <c r="B81" s="118" t="str">
        <f t="shared" si="45"/>
        <v/>
      </c>
      <c r="C81" s="119"/>
      <c r="D81" s="119"/>
      <c r="E81" s="120"/>
      <c r="F81" s="33"/>
      <c r="G81" s="33"/>
      <c r="H81" s="33"/>
      <c r="I81" s="33"/>
    </row>
  </sheetData>
  <sheetProtection algorithmName="SHA-512" hashValue="SUhzlodLSCbYf+FgTCYJjR8U4gF9qqlZfYIWXli4UMps0JDJPOjp/a454m+MKR4h7cW7zh+utWv3HuqNeuNqPQ==" saltValue="RQ7uy6vNNE/Tbmv5bhxL5A==" spinCount="100000" sheet="1" objects="1" scenarios="1"/>
  <mergeCells count="44">
    <mergeCell ref="B81:E81"/>
    <mergeCell ref="B75:E75"/>
    <mergeCell ref="B76:E76"/>
    <mergeCell ref="B77:E77"/>
    <mergeCell ref="B78:E78"/>
    <mergeCell ref="B79:E79"/>
    <mergeCell ref="B80:E80"/>
    <mergeCell ref="B74:E74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58:E58"/>
    <mergeCell ref="B59:E59"/>
    <mergeCell ref="B60:E60"/>
    <mergeCell ref="B61:E61"/>
    <mergeCell ref="B62:E62"/>
    <mergeCell ref="B43:E43"/>
    <mergeCell ref="B44:E44"/>
    <mergeCell ref="B45:E45"/>
    <mergeCell ref="B57:E57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2:E2"/>
    <mergeCell ref="F2:I2"/>
    <mergeCell ref="J2:M2"/>
    <mergeCell ref="B40:E40"/>
    <mergeCell ref="F40:I40"/>
  </mergeCells>
  <pageMargins left="0.25" right="0.25" top="0.75" bottom="0.75" header="0.3" footer="0.3"/>
  <pageSetup paperSize="9" scale="64" fitToHeight="0" orientation="landscape" r:id="rId1"/>
  <rowBreaks count="1" manualBreakCount="1">
    <brk id="3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A2FEED-817D-4E4E-8890-CF14D0DA5856}">
          <x14:formula1>
            <xm:f>DATA!$B$6:$B$23</xm:f>
          </x14:formula1>
          <xm:sqref>B43:E81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5F348-E34F-46DF-A84D-97C465AC71E0}">
  <sheetPr>
    <tabColor rgb="FF3CB4E5"/>
  </sheetPr>
  <dimension ref="A1:M114"/>
  <sheetViews>
    <sheetView workbookViewId="0">
      <selection activeCell="B16" sqref="B16"/>
    </sheetView>
  </sheetViews>
  <sheetFormatPr baseColWidth="10" defaultColWidth="11.42578125" defaultRowHeight="15" x14ac:dyDescent="0.25"/>
  <cols>
    <col min="1" max="1" width="77.42578125" customWidth="1"/>
    <col min="2" max="5" width="13.7109375" customWidth="1"/>
    <col min="6" max="6" width="11.42578125" style="87"/>
    <col min="7" max="7" width="35.42578125" customWidth="1"/>
  </cols>
  <sheetData>
    <row r="1" spans="1:13" ht="16.5" x14ac:dyDescent="0.3">
      <c r="A1" s="26"/>
      <c r="B1" s="107" t="s">
        <v>2</v>
      </c>
      <c r="C1" s="107"/>
      <c r="D1" s="107"/>
      <c r="E1" s="107"/>
    </row>
    <row r="2" spans="1:13" ht="16.5" x14ac:dyDescent="0.3">
      <c r="A2" s="8" t="s">
        <v>174</v>
      </c>
      <c r="B2" s="8">
        <v>2026</v>
      </c>
      <c r="C2" s="8">
        <v>2027</v>
      </c>
      <c r="D2" s="8">
        <v>2028</v>
      </c>
      <c r="E2" s="8">
        <v>2029</v>
      </c>
    </row>
    <row r="3" spans="1:13" ht="16.5" x14ac:dyDescent="0.3">
      <c r="A3" s="2" t="s">
        <v>177</v>
      </c>
      <c r="B3" s="11">
        <v>11540</v>
      </c>
      <c r="C3" s="11">
        <v>11540</v>
      </c>
      <c r="D3" s="11">
        <v>11540</v>
      </c>
      <c r="E3" s="11">
        <v>11540</v>
      </c>
    </row>
    <row r="4" spans="1:13" ht="16.5" x14ac:dyDescent="0.3">
      <c r="A4" s="2" t="s">
        <v>178</v>
      </c>
      <c r="B4" s="11">
        <v>-1000</v>
      </c>
      <c r="C4" s="11">
        <v>-1000</v>
      </c>
      <c r="D4" s="11">
        <v>-1000</v>
      </c>
      <c r="E4" s="11">
        <v>-1000</v>
      </c>
    </row>
    <row r="5" spans="1:13" ht="16.5" x14ac:dyDescent="0.3">
      <c r="A5" s="2" t="s">
        <v>179</v>
      </c>
      <c r="B5" s="11">
        <v>-150</v>
      </c>
      <c r="C5" s="11">
        <v>-150</v>
      </c>
      <c r="D5" s="11">
        <v>-150</v>
      </c>
      <c r="E5" s="11">
        <v>-150</v>
      </c>
    </row>
    <row r="6" spans="1:13" ht="16.5" x14ac:dyDescent="0.3">
      <c r="A6" s="2" t="s">
        <v>180</v>
      </c>
      <c r="B6" s="11">
        <v>0</v>
      </c>
      <c r="C6" s="11">
        <v>9827</v>
      </c>
      <c r="D6" s="11">
        <v>14871</v>
      </c>
      <c r="E6" s="11">
        <v>14871</v>
      </c>
    </row>
    <row r="7" spans="1:13" ht="16.5" x14ac:dyDescent="0.3">
      <c r="A7" s="2" t="s">
        <v>181</v>
      </c>
      <c r="B7" s="11">
        <v>-600</v>
      </c>
      <c r="C7" s="11">
        <v>-1200</v>
      </c>
      <c r="D7" s="11">
        <v>-1200</v>
      </c>
      <c r="E7" s="11">
        <v>1200</v>
      </c>
    </row>
    <row r="8" spans="1:13" ht="16.5" x14ac:dyDescent="0.3">
      <c r="A8" s="2" t="s">
        <v>182</v>
      </c>
      <c r="B8" s="11">
        <v>-4011</v>
      </c>
      <c r="C8" s="11">
        <v>-6832</v>
      </c>
      <c r="D8" s="11">
        <v>-9236</v>
      </c>
      <c r="E8" s="11">
        <v>-13368</v>
      </c>
    </row>
    <row r="9" spans="1:13" ht="16.5" x14ac:dyDescent="0.3">
      <c r="A9" s="2" t="s">
        <v>183</v>
      </c>
      <c r="B9" s="11">
        <v>-1279</v>
      </c>
      <c r="C9" s="11">
        <v>-1096</v>
      </c>
      <c r="D9" s="11">
        <v>-1461</v>
      </c>
      <c r="E9" s="11">
        <v>-1461</v>
      </c>
    </row>
    <row r="10" spans="1:13" ht="16.5" x14ac:dyDescent="0.3">
      <c r="A10" s="2" t="s">
        <v>184</v>
      </c>
      <c r="B10" s="11">
        <v>-170</v>
      </c>
      <c r="C10" s="11">
        <v>-170</v>
      </c>
      <c r="D10" s="11">
        <v>-170</v>
      </c>
      <c r="E10" s="11">
        <v>-170</v>
      </c>
      <c r="L10" s="11"/>
      <c r="M10" s="11"/>
    </row>
    <row r="11" spans="1:13" ht="16.5" x14ac:dyDescent="0.3">
      <c r="A11" s="2" t="s">
        <v>185</v>
      </c>
      <c r="B11" s="11">
        <v>-250</v>
      </c>
      <c r="C11" s="11">
        <v>-250</v>
      </c>
      <c r="D11" s="11">
        <v>-250</v>
      </c>
      <c r="E11" s="11">
        <v>-250</v>
      </c>
    </row>
    <row r="12" spans="1:13" ht="16.5" x14ac:dyDescent="0.3">
      <c r="A12" s="2" t="s">
        <v>186</v>
      </c>
      <c r="B12" s="11">
        <v>4829</v>
      </c>
      <c r="C12" s="11">
        <v>4829</v>
      </c>
      <c r="D12" s="11">
        <v>4829</v>
      </c>
      <c r="E12" s="11">
        <v>4829</v>
      </c>
    </row>
    <row r="13" spans="1:13" ht="16.5" x14ac:dyDescent="0.3">
      <c r="A13" s="2" t="s">
        <v>187</v>
      </c>
      <c r="B13" s="11">
        <v>1300</v>
      </c>
      <c r="C13" s="11">
        <v>1300</v>
      </c>
      <c r="D13" s="11">
        <v>1300</v>
      </c>
      <c r="E13" s="11">
        <v>1300</v>
      </c>
      <c r="G13" s="2"/>
      <c r="H13" s="11"/>
      <c r="I13" s="11"/>
      <c r="J13" s="11"/>
      <c r="K13" s="11"/>
    </row>
    <row r="14" spans="1:13" ht="16.5" x14ac:dyDescent="0.3">
      <c r="A14" s="2" t="s">
        <v>188</v>
      </c>
      <c r="B14" s="11">
        <v>6430</v>
      </c>
      <c r="C14" s="11">
        <v>6430</v>
      </c>
      <c r="D14" s="11">
        <v>6430</v>
      </c>
      <c r="E14" s="11">
        <v>6430</v>
      </c>
    </row>
    <row r="15" spans="1:13" ht="16.5" x14ac:dyDescent="0.3">
      <c r="A15" s="2" t="s">
        <v>189</v>
      </c>
      <c r="B15" s="11">
        <v>1594</v>
      </c>
      <c r="C15" s="11">
        <v>2391</v>
      </c>
      <c r="D15" s="11">
        <v>3055</v>
      </c>
      <c r="E15" s="11">
        <v>3055</v>
      </c>
    </row>
    <row r="16" spans="1:13" ht="16.5" x14ac:dyDescent="0.3">
      <c r="A16" s="2" t="s">
        <v>190</v>
      </c>
      <c r="B16" s="11">
        <v>-500</v>
      </c>
      <c r="C16" s="11">
        <v>1250</v>
      </c>
      <c r="D16" s="11">
        <v>1250</v>
      </c>
      <c r="E16" s="11">
        <v>1250</v>
      </c>
    </row>
    <row r="17" spans="1:5" ht="16.5" x14ac:dyDescent="0.3">
      <c r="A17" s="2" t="s">
        <v>191</v>
      </c>
      <c r="B17" s="11">
        <v>500</v>
      </c>
      <c r="C17" s="11">
        <v>500</v>
      </c>
      <c r="D17" s="11">
        <v>500</v>
      </c>
      <c r="E17" s="11">
        <v>500</v>
      </c>
    </row>
    <row r="18" spans="1:5" ht="16.5" x14ac:dyDescent="0.3">
      <c r="A18" s="2" t="s">
        <v>192</v>
      </c>
      <c r="B18" s="11">
        <v>180</v>
      </c>
      <c r="C18" s="11">
        <v>180</v>
      </c>
      <c r="D18" s="11">
        <v>180</v>
      </c>
      <c r="E18" s="11">
        <v>180</v>
      </c>
    </row>
    <row r="19" spans="1:5" ht="16.5" x14ac:dyDescent="0.3">
      <c r="A19" s="2" t="s">
        <v>193</v>
      </c>
      <c r="B19" s="11">
        <v>358</v>
      </c>
      <c r="C19" s="11">
        <v>358</v>
      </c>
      <c r="D19" s="11">
        <v>358</v>
      </c>
      <c r="E19" s="11">
        <v>358</v>
      </c>
    </row>
    <row r="20" spans="1:5" ht="16.5" x14ac:dyDescent="0.3">
      <c r="A20" s="2" t="s">
        <v>194</v>
      </c>
      <c r="B20" s="11">
        <v>0</v>
      </c>
      <c r="C20" s="11">
        <v>-2500</v>
      </c>
      <c r="D20" s="11">
        <v>-2500</v>
      </c>
      <c r="E20" s="11">
        <v>-2500</v>
      </c>
    </row>
    <row r="21" spans="1:5" ht="16.5" x14ac:dyDescent="0.3">
      <c r="A21" s="2" t="s">
        <v>195</v>
      </c>
      <c r="B21" s="11">
        <v>-500</v>
      </c>
      <c r="C21" s="11">
        <v>-500</v>
      </c>
      <c r="D21" s="11">
        <v>-500</v>
      </c>
      <c r="E21" s="11">
        <v>-500</v>
      </c>
    </row>
    <row r="22" spans="1:5" ht="16.5" x14ac:dyDescent="0.3">
      <c r="A22" s="2" t="s">
        <v>196</v>
      </c>
      <c r="B22" s="11">
        <v>-260</v>
      </c>
      <c r="C22" s="11">
        <v>-325</v>
      </c>
      <c r="D22" s="11">
        <v>-325</v>
      </c>
      <c r="E22" s="11">
        <v>-325</v>
      </c>
    </row>
    <row r="23" spans="1:5" ht="16.5" x14ac:dyDescent="0.3">
      <c r="A23" s="2" t="s">
        <v>197</v>
      </c>
      <c r="B23" s="11">
        <v>-270</v>
      </c>
      <c r="C23" s="11">
        <v>-270</v>
      </c>
      <c r="D23" s="11">
        <v>-270</v>
      </c>
      <c r="E23" s="11">
        <v>-270</v>
      </c>
    </row>
    <row r="24" spans="1:5" ht="16.5" x14ac:dyDescent="0.3">
      <c r="A24" s="2" t="s">
        <v>198</v>
      </c>
      <c r="B24" s="11">
        <v>-200</v>
      </c>
      <c r="C24" s="11">
        <v>-200</v>
      </c>
      <c r="D24" s="11">
        <v>-200</v>
      </c>
      <c r="E24" s="11">
        <v>-200</v>
      </c>
    </row>
    <row r="25" spans="1:5" ht="16.5" x14ac:dyDescent="0.3">
      <c r="A25" s="2" t="s">
        <v>199</v>
      </c>
      <c r="B25" s="11">
        <v>-200</v>
      </c>
      <c r="C25" s="11">
        <v>-200</v>
      </c>
      <c r="D25" s="11">
        <v>-200</v>
      </c>
      <c r="E25" s="11">
        <v>-200</v>
      </c>
    </row>
    <row r="26" spans="1:5" ht="16.5" x14ac:dyDescent="0.3">
      <c r="A26" s="2" t="s">
        <v>200</v>
      </c>
      <c r="B26" s="11">
        <v>7000</v>
      </c>
      <c r="C26" s="11">
        <v>12000</v>
      </c>
      <c r="D26" s="11">
        <v>12000</v>
      </c>
      <c r="E26" s="11">
        <v>12000</v>
      </c>
    </row>
    <row r="27" spans="1:5" ht="16.5" x14ac:dyDescent="0.3">
      <c r="A27" s="2" t="s">
        <v>297</v>
      </c>
      <c r="B27" s="11">
        <v>-100</v>
      </c>
      <c r="C27" s="11">
        <v>-100</v>
      </c>
      <c r="D27" s="11">
        <v>-100</v>
      </c>
      <c r="E27" s="11">
        <v>-100</v>
      </c>
    </row>
    <row r="28" spans="1:5" ht="16.5" x14ac:dyDescent="0.3">
      <c r="A28" s="2" t="s">
        <v>201</v>
      </c>
      <c r="B28" s="11">
        <v>350</v>
      </c>
      <c r="C28" s="11">
        <v>350</v>
      </c>
      <c r="D28" s="11">
        <v>350</v>
      </c>
      <c r="E28" s="11">
        <v>350</v>
      </c>
    </row>
    <row r="29" spans="1:5" ht="16.5" x14ac:dyDescent="0.3">
      <c r="A29" s="2" t="s">
        <v>202</v>
      </c>
      <c r="B29" s="11">
        <v>7901</v>
      </c>
      <c r="C29" s="11">
        <v>2191</v>
      </c>
      <c r="D29" s="11">
        <v>11452</v>
      </c>
      <c r="E29" s="11">
        <v>17471</v>
      </c>
    </row>
    <row r="30" spans="1:5" ht="16.5" x14ac:dyDescent="0.3">
      <c r="A30" s="2" t="s">
        <v>203</v>
      </c>
      <c r="B30" s="11">
        <v>-400</v>
      </c>
      <c r="C30" s="11">
        <v>0</v>
      </c>
      <c r="D30" s="11">
        <v>-400</v>
      </c>
      <c r="E30" s="11">
        <v>0</v>
      </c>
    </row>
    <row r="31" spans="1:5" ht="16.5" x14ac:dyDescent="0.3">
      <c r="A31" s="2" t="s">
        <v>204</v>
      </c>
      <c r="B31" s="11">
        <v>3631</v>
      </c>
      <c r="C31" s="11">
        <v>1320</v>
      </c>
      <c r="D31" s="11">
        <v>-1138</v>
      </c>
      <c r="E31" s="11">
        <v>-3998</v>
      </c>
    </row>
    <row r="32" spans="1:5" ht="16.5" x14ac:dyDescent="0.3">
      <c r="A32" s="2" t="s">
        <v>205</v>
      </c>
      <c r="B32" s="11">
        <v>-54109</v>
      </c>
      <c r="C32" s="11">
        <v>-57333</v>
      </c>
      <c r="D32" s="11">
        <v>-61431</v>
      </c>
      <c r="E32" s="11">
        <v>-63388</v>
      </c>
    </row>
    <row r="33" spans="1:5" ht="16.5" x14ac:dyDescent="0.3">
      <c r="A33" s="2" t="s">
        <v>206</v>
      </c>
      <c r="B33" s="11">
        <v>5500</v>
      </c>
      <c r="C33" s="11">
        <v>5500</v>
      </c>
      <c r="D33" s="11">
        <v>5500</v>
      </c>
      <c r="E33" s="11">
        <v>5500</v>
      </c>
    </row>
    <row r="34" spans="1:5" ht="16.5" x14ac:dyDescent="0.3">
      <c r="A34" s="2" t="s">
        <v>207</v>
      </c>
      <c r="B34" s="11">
        <v>19158</v>
      </c>
      <c r="C34" s="11">
        <v>19158</v>
      </c>
      <c r="D34" s="11">
        <v>19158</v>
      </c>
      <c r="E34" s="11">
        <v>19158</v>
      </c>
    </row>
    <row r="35" spans="1:5" ht="16.5" x14ac:dyDescent="0.3">
      <c r="A35" s="2" t="s">
        <v>208</v>
      </c>
      <c r="B35" s="11">
        <v>59</v>
      </c>
      <c r="C35" s="11">
        <v>59</v>
      </c>
      <c r="D35" s="11">
        <v>59</v>
      </c>
      <c r="E35" s="11">
        <v>59</v>
      </c>
    </row>
    <row r="36" spans="1:5" ht="16.5" x14ac:dyDescent="0.3">
      <c r="A36" s="2" t="s">
        <v>209</v>
      </c>
      <c r="B36" s="11">
        <v>-1230</v>
      </c>
      <c r="C36" s="11">
        <v>-1230</v>
      </c>
      <c r="D36" s="11">
        <v>-1230</v>
      </c>
      <c r="E36" s="11">
        <v>-1230</v>
      </c>
    </row>
    <row r="37" spans="1:5" ht="16.5" x14ac:dyDescent="0.3">
      <c r="A37" s="2" t="s">
        <v>210</v>
      </c>
      <c r="B37" s="11">
        <v>9700</v>
      </c>
      <c r="C37" s="11">
        <v>9700</v>
      </c>
      <c r="D37" s="11">
        <v>9700</v>
      </c>
      <c r="E37" s="11">
        <v>9700</v>
      </c>
    </row>
    <row r="38" spans="1:5" ht="16.5" x14ac:dyDescent="0.3">
      <c r="A38" s="2" t="s">
        <v>211</v>
      </c>
      <c r="B38" s="11">
        <v>948</v>
      </c>
      <c r="C38" s="11">
        <v>948</v>
      </c>
      <c r="D38" s="11">
        <v>948</v>
      </c>
      <c r="E38" s="11">
        <v>948</v>
      </c>
    </row>
    <row r="39" spans="1:5" ht="16.5" x14ac:dyDescent="0.3">
      <c r="A39" s="2" t="s">
        <v>212</v>
      </c>
      <c r="B39" s="11">
        <v>0</v>
      </c>
      <c r="C39" s="11">
        <v>1250</v>
      </c>
      <c r="D39" s="11">
        <v>1970</v>
      </c>
      <c r="E39" s="11">
        <v>2100</v>
      </c>
    </row>
    <row r="40" spans="1:5" ht="16.5" x14ac:dyDescent="0.3">
      <c r="A40" s="2" t="s">
        <v>213</v>
      </c>
      <c r="B40" s="11">
        <v>400</v>
      </c>
      <c r="C40" s="11">
        <v>400</v>
      </c>
      <c r="D40" s="11">
        <v>400</v>
      </c>
      <c r="E40" s="11">
        <v>400</v>
      </c>
    </row>
    <row r="41" spans="1:5" ht="16.5" x14ac:dyDescent="0.3">
      <c r="A41" s="2" t="s">
        <v>214</v>
      </c>
      <c r="B41" s="11">
        <v>-590</v>
      </c>
      <c r="C41" s="11">
        <v>-590</v>
      </c>
      <c r="D41" s="11">
        <v>-590</v>
      </c>
      <c r="E41" s="11">
        <v>-590</v>
      </c>
    </row>
    <row r="42" spans="1:5" ht="16.5" x14ac:dyDescent="0.3">
      <c r="A42" s="2" t="s">
        <v>215</v>
      </c>
      <c r="B42" s="11">
        <v>350</v>
      </c>
      <c r="C42" s="11">
        <v>350</v>
      </c>
      <c r="D42" s="11">
        <v>350</v>
      </c>
      <c r="E42" s="11">
        <v>350</v>
      </c>
    </row>
    <row r="43" spans="1:5" ht="16.5" x14ac:dyDescent="0.3">
      <c r="A43" s="2" t="s">
        <v>216</v>
      </c>
      <c r="B43" s="11">
        <v>50</v>
      </c>
      <c r="C43" s="11">
        <v>0</v>
      </c>
      <c r="D43" s="11">
        <v>0</v>
      </c>
      <c r="E43" s="11">
        <v>0</v>
      </c>
    </row>
    <row r="44" spans="1:5" ht="16.5" x14ac:dyDescent="0.3">
      <c r="A44" s="2" t="s">
        <v>217</v>
      </c>
      <c r="B44" s="11">
        <v>7130</v>
      </c>
      <c r="C44" s="11">
        <v>7130</v>
      </c>
      <c r="D44" s="11">
        <v>7130</v>
      </c>
      <c r="E44" s="11">
        <v>7130</v>
      </c>
    </row>
    <row r="45" spans="1:5" ht="16.5" x14ac:dyDescent="0.3">
      <c r="A45" s="2" t="s">
        <v>218</v>
      </c>
      <c r="B45" s="11">
        <v>-2576</v>
      </c>
      <c r="C45" s="11">
        <v>-2576</v>
      </c>
      <c r="D45" s="11">
        <v>-2576</v>
      </c>
      <c r="E45" s="11">
        <v>-2576</v>
      </c>
    </row>
    <row r="46" spans="1:5" ht="16.5" x14ac:dyDescent="0.3">
      <c r="A46" s="2" t="s">
        <v>219</v>
      </c>
      <c r="B46" s="11">
        <v>0</v>
      </c>
      <c r="C46" s="11">
        <v>-2900</v>
      </c>
      <c r="D46" s="11">
        <v>-7000</v>
      </c>
      <c r="E46" s="11">
        <v>-7000</v>
      </c>
    </row>
    <row r="47" spans="1:5" ht="16.5" x14ac:dyDescent="0.3">
      <c r="A47" s="2" t="s">
        <v>220</v>
      </c>
      <c r="B47" s="11">
        <v>0</v>
      </c>
      <c r="C47" s="11">
        <v>-800</v>
      </c>
      <c r="D47" s="11">
        <v>-2000</v>
      </c>
      <c r="E47" s="11">
        <v>-2000</v>
      </c>
    </row>
    <row r="48" spans="1:5" ht="16.5" x14ac:dyDescent="0.3">
      <c r="A48" s="2" t="s">
        <v>221</v>
      </c>
      <c r="B48" s="11">
        <v>-1000</v>
      </c>
      <c r="C48" s="11">
        <v>-1000</v>
      </c>
      <c r="D48" s="11">
        <v>-1000</v>
      </c>
      <c r="E48" s="11">
        <v>-1000</v>
      </c>
    </row>
    <row r="49" spans="1:13" ht="16.5" x14ac:dyDescent="0.3">
      <c r="A49" s="2" t="s">
        <v>294</v>
      </c>
      <c r="B49" s="11">
        <v>-167</v>
      </c>
      <c r="C49" s="11">
        <v>-189</v>
      </c>
      <c r="D49" s="11">
        <v>-189</v>
      </c>
      <c r="E49" s="11">
        <v>-189</v>
      </c>
    </row>
    <row r="50" spans="1:13" ht="16.5" x14ac:dyDescent="0.3">
      <c r="A50" s="2" t="s">
        <v>222</v>
      </c>
      <c r="B50" s="11">
        <v>0</v>
      </c>
      <c r="C50" s="11">
        <v>-205</v>
      </c>
      <c r="D50" s="11">
        <v>-205</v>
      </c>
      <c r="E50" s="11">
        <v>-205</v>
      </c>
    </row>
    <row r="51" spans="1:13" ht="16.5" x14ac:dyDescent="0.3">
      <c r="A51" s="2" t="s">
        <v>223</v>
      </c>
      <c r="B51" s="11">
        <v>70</v>
      </c>
      <c r="C51" s="11">
        <v>0</v>
      </c>
      <c r="D51" s="11">
        <v>0</v>
      </c>
      <c r="E51" s="11">
        <v>0</v>
      </c>
    </row>
    <row r="52" spans="1:13" ht="16.5" x14ac:dyDescent="0.3">
      <c r="A52" s="2" t="s">
        <v>295</v>
      </c>
      <c r="B52" s="11">
        <v>-200</v>
      </c>
      <c r="C52" s="11">
        <v>190</v>
      </c>
      <c r="D52" s="11">
        <v>190</v>
      </c>
      <c r="E52" s="11">
        <v>190</v>
      </c>
    </row>
    <row r="53" spans="1:13" ht="16.5" x14ac:dyDescent="0.3">
      <c r="A53" s="2" t="s">
        <v>298</v>
      </c>
      <c r="B53" s="11">
        <v>-350</v>
      </c>
      <c r="C53" s="11">
        <v>-350</v>
      </c>
      <c r="D53" s="11">
        <v>-350</v>
      </c>
      <c r="E53" s="11">
        <v>-350</v>
      </c>
    </row>
    <row r="54" spans="1:13" ht="16.5" x14ac:dyDescent="0.3">
      <c r="A54" s="2" t="s">
        <v>224</v>
      </c>
      <c r="B54" s="11">
        <v>-700</v>
      </c>
      <c r="C54" s="11">
        <v>-700</v>
      </c>
      <c r="D54" s="11">
        <v>-700</v>
      </c>
      <c r="E54" s="11">
        <v>-700</v>
      </c>
    </row>
    <row r="55" spans="1:13" ht="16.5" x14ac:dyDescent="0.3">
      <c r="A55" s="2" t="s">
        <v>225</v>
      </c>
      <c r="B55" s="11">
        <v>-50</v>
      </c>
      <c r="C55" s="11">
        <v>-50</v>
      </c>
      <c r="D55" s="11">
        <v>-50</v>
      </c>
      <c r="E55" s="11">
        <v>-50</v>
      </c>
    </row>
    <row r="56" spans="1:13" ht="16.5" x14ac:dyDescent="0.3">
      <c r="A56" s="2" t="s">
        <v>226</v>
      </c>
      <c r="B56" s="11">
        <v>-50</v>
      </c>
      <c r="C56" s="11">
        <v>-200</v>
      </c>
      <c r="D56" s="11">
        <v>-200</v>
      </c>
      <c r="E56" s="11">
        <v>-200</v>
      </c>
    </row>
    <row r="57" spans="1:13" ht="16.5" x14ac:dyDescent="0.3">
      <c r="A57" s="2" t="s">
        <v>227</v>
      </c>
      <c r="B57" s="11">
        <v>-250</v>
      </c>
      <c r="C57" s="11">
        <v>-500</v>
      </c>
      <c r="D57" s="11">
        <v>-500</v>
      </c>
      <c r="E57" s="11">
        <v>-500</v>
      </c>
    </row>
    <row r="58" spans="1:13" ht="16.5" x14ac:dyDescent="0.3">
      <c r="A58" s="2" t="s">
        <v>296</v>
      </c>
      <c r="B58" s="11">
        <v>-450</v>
      </c>
      <c r="C58" s="11">
        <v>0</v>
      </c>
      <c r="D58" s="11">
        <v>0</v>
      </c>
      <c r="E58" s="11">
        <v>0</v>
      </c>
    </row>
    <row r="59" spans="1:13" ht="16.5" x14ac:dyDescent="0.3">
      <c r="A59" s="2" t="s">
        <v>228</v>
      </c>
      <c r="B59" s="11">
        <v>-200</v>
      </c>
      <c r="C59" s="11">
        <v>-200</v>
      </c>
      <c r="D59" s="11">
        <v>-200</v>
      </c>
      <c r="E59" s="11">
        <v>-200</v>
      </c>
    </row>
    <row r="60" spans="1:13" ht="16.5" x14ac:dyDescent="0.3">
      <c r="A60" s="2" t="s">
        <v>229</v>
      </c>
      <c r="B60" s="11">
        <v>-3188</v>
      </c>
      <c r="C60" s="11">
        <v>-2391</v>
      </c>
      <c r="D60" s="11">
        <v>-3055</v>
      </c>
      <c r="E60" s="11">
        <v>-3055</v>
      </c>
    </row>
    <row r="61" spans="1:13" ht="16.5" x14ac:dyDescent="0.3">
      <c r="A61" s="2" t="s">
        <v>230</v>
      </c>
      <c r="B61" s="11">
        <v>-1100</v>
      </c>
      <c r="C61" s="11">
        <v>-1100</v>
      </c>
      <c r="D61" s="11">
        <v>-1100</v>
      </c>
      <c r="E61" s="11">
        <v>-1100</v>
      </c>
    </row>
    <row r="62" spans="1:13" ht="16.5" x14ac:dyDescent="0.3">
      <c r="A62" s="2" t="s">
        <v>231</v>
      </c>
      <c r="B62" s="11">
        <v>-4300</v>
      </c>
      <c r="C62" s="11">
        <v>-4300</v>
      </c>
      <c r="D62" s="11">
        <v>-4300</v>
      </c>
      <c r="E62" s="11">
        <v>-4300</v>
      </c>
    </row>
    <row r="63" spans="1:13" ht="16.5" x14ac:dyDescent="0.3">
      <c r="A63" s="2" t="s">
        <v>232</v>
      </c>
      <c r="B63" s="11">
        <v>-1000</v>
      </c>
      <c r="C63" s="11">
        <v>0</v>
      </c>
      <c r="D63" s="11">
        <v>0</v>
      </c>
      <c r="E63" s="11">
        <v>0</v>
      </c>
      <c r="L63" s="11"/>
      <c r="M63" s="11"/>
    </row>
    <row r="64" spans="1:13" ht="16.5" x14ac:dyDescent="0.3">
      <c r="A64" s="2" t="s">
        <v>233</v>
      </c>
      <c r="B64" s="11">
        <v>-1400</v>
      </c>
      <c r="C64" s="11">
        <v>-1400</v>
      </c>
      <c r="D64" s="11">
        <v>-1400</v>
      </c>
      <c r="E64" s="11">
        <v>-1400</v>
      </c>
    </row>
    <row r="65" spans="1:13" ht="16.5" x14ac:dyDescent="0.3">
      <c r="A65" s="2" t="s">
        <v>299</v>
      </c>
      <c r="B65" s="11">
        <v>-384</v>
      </c>
      <c r="C65" s="11">
        <v>0</v>
      </c>
      <c r="D65" s="11">
        <v>0</v>
      </c>
      <c r="E65" s="11">
        <v>0</v>
      </c>
    </row>
    <row r="66" spans="1:13" ht="16.5" x14ac:dyDescent="0.3">
      <c r="A66" s="2" t="s">
        <v>234</v>
      </c>
      <c r="B66" s="11">
        <v>-350</v>
      </c>
      <c r="C66" s="11">
        <v>-900</v>
      </c>
      <c r="D66" s="11">
        <v>-900</v>
      </c>
      <c r="E66" s="11">
        <v>-900</v>
      </c>
    </row>
    <row r="67" spans="1:13" ht="16.5" x14ac:dyDescent="0.3">
      <c r="A67" s="2" t="s">
        <v>235</v>
      </c>
      <c r="B67" s="11">
        <v>-634</v>
      </c>
      <c r="C67" s="11">
        <v>-634</v>
      </c>
      <c r="D67" s="11">
        <v>-634</v>
      </c>
      <c r="E67" s="11">
        <v>-634</v>
      </c>
      <c r="L67" s="11"/>
      <c r="M67" s="11"/>
    </row>
    <row r="68" spans="1:13" ht="16.5" x14ac:dyDescent="0.3">
      <c r="A68" s="2" t="s">
        <v>236</v>
      </c>
      <c r="B68" s="11">
        <v>-4279</v>
      </c>
      <c r="C68" s="11">
        <v>-4279</v>
      </c>
      <c r="D68" s="11">
        <v>-4279</v>
      </c>
      <c r="E68" s="11">
        <v>-4279</v>
      </c>
    </row>
    <row r="69" spans="1:13" ht="16.5" x14ac:dyDescent="0.3">
      <c r="A69" s="2" t="s">
        <v>237</v>
      </c>
      <c r="B69" s="11">
        <v>-175</v>
      </c>
      <c r="C69" s="11">
        <v>-175</v>
      </c>
      <c r="D69" s="11">
        <v>-175</v>
      </c>
      <c r="E69" s="11">
        <v>-175</v>
      </c>
    </row>
    <row r="70" spans="1:13" ht="16.5" x14ac:dyDescent="0.3">
      <c r="A70" s="2" t="s">
        <v>238</v>
      </c>
      <c r="B70" s="11">
        <v>111</v>
      </c>
      <c r="C70" s="11">
        <v>111</v>
      </c>
      <c r="D70" s="11">
        <v>111</v>
      </c>
      <c r="E70" s="11">
        <v>111</v>
      </c>
    </row>
    <row r="71" spans="1:13" ht="16.5" x14ac:dyDescent="0.3">
      <c r="A71" s="2" t="s">
        <v>239</v>
      </c>
      <c r="B71" s="11">
        <v>265</v>
      </c>
      <c r="C71" s="11">
        <v>265</v>
      </c>
      <c r="D71" s="11">
        <v>265</v>
      </c>
      <c r="E71" s="11">
        <v>265</v>
      </c>
    </row>
    <row r="72" spans="1:13" ht="16.5" x14ac:dyDescent="0.3">
      <c r="A72" s="2" t="s">
        <v>240</v>
      </c>
      <c r="B72" s="11">
        <v>-732</v>
      </c>
      <c r="C72" s="11">
        <v>-732</v>
      </c>
      <c r="D72" s="11">
        <v>-732</v>
      </c>
      <c r="E72" s="11">
        <v>-732</v>
      </c>
    </row>
    <row r="73" spans="1:13" ht="16.5" x14ac:dyDescent="0.3">
      <c r="A73" s="6" t="s">
        <v>73</v>
      </c>
      <c r="B73" s="88">
        <f>SUM(B3:B72)</f>
        <v>0</v>
      </c>
      <c r="C73" s="88">
        <f t="shared" ref="C73:E73" si="0">SUM(C3:C72)</f>
        <v>0</v>
      </c>
      <c r="D73" s="88">
        <f t="shared" si="0"/>
        <v>0</v>
      </c>
      <c r="E73" s="88">
        <f t="shared" si="0"/>
        <v>0</v>
      </c>
    </row>
    <row r="74" spans="1:13" ht="16.5" x14ac:dyDescent="0.3">
      <c r="A74" s="2"/>
      <c r="B74" s="11"/>
      <c r="C74" s="11"/>
      <c r="D74" s="11"/>
      <c r="E74" s="11"/>
    </row>
    <row r="75" spans="1:13" ht="16.5" x14ac:dyDescent="0.3">
      <c r="A75" s="2"/>
      <c r="B75" s="11"/>
      <c r="C75" s="11"/>
      <c r="D75" s="11"/>
      <c r="E75" s="11"/>
    </row>
    <row r="76" spans="1:13" ht="16.5" x14ac:dyDescent="0.3">
      <c r="A76" s="2"/>
      <c r="B76" s="11"/>
      <c r="C76" s="11"/>
      <c r="D76" s="11"/>
      <c r="E76" s="11"/>
    </row>
    <row r="77" spans="1:13" ht="16.5" x14ac:dyDescent="0.3">
      <c r="A77" s="2"/>
      <c r="B77" s="11"/>
      <c r="C77" s="11"/>
      <c r="D77" s="11"/>
      <c r="E77" s="11"/>
    </row>
    <row r="78" spans="1:13" ht="16.5" x14ac:dyDescent="0.3">
      <c r="A78" s="2"/>
      <c r="B78" s="11"/>
      <c r="C78" s="11"/>
      <c r="D78" s="11"/>
      <c r="E78" s="11"/>
    </row>
    <row r="79" spans="1:13" ht="16.5" x14ac:dyDescent="0.3">
      <c r="A79" s="2"/>
      <c r="B79" s="11"/>
      <c r="C79" s="11"/>
      <c r="D79" s="11"/>
      <c r="E79" s="11"/>
    </row>
    <row r="82" spans="1:5" ht="16.5" x14ac:dyDescent="0.3">
      <c r="A82" s="2"/>
      <c r="B82" s="11"/>
      <c r="C82" s="11"/>
      <c r="D82" s="11"/>
      <c r="E82" s="11"/>
    </row>
    <row r="83" spans="1:5" ht="16.5" x14ac:dyDescent="0.3">
      <c r="A83" s="2"/>
      <c r="B83" s="11"/>
      <c r="C83" s="11"/>
      <c r="D83" s="11"/>
      <c r="E83" s="11"/>
    </row>
    <row r="84" spans="1:5" ht="16.5" x14ac:dyDescent="0.3">
      <c r="A84" s="2"/>
      <c r="B84" s="11"/>
      <c r="C84" s="11"/>
      <c r="D84" s="11"/>
      <c r="E84" s="11"/>
    </row>
    <row r="85" spans="1:5" ht="16.5" x14ac:dyDescent="0.3">
      <c r="A85" s="2"/>
      <c r="B85" s="11"/>
      <c r="C85" s="11"/>
      <c r="D85" s="11"/>
      <c r="E85" s="11"/>
    </row>
    <row r="86" spans="1:5" ht="16.5" x14ac:dyDescent="0.3">
      <c r="A86" s="2"/>
      <c r="B86" s="11"/>
      <c r="C86" s="11"/>
      <c r="D86" s="11"/>
      <c r="E86" s="11"/>
    </row>
    <row r="87" spans="1:5" ht="16.5" x14ac:dyDescent="0.3">
      <c r="A87" s="2"/>
      <c r="B87" s="11"/>
      <c r="C87" s="11"/>
      <c r="D87" s="11"/>
      <c r="E87" s="11"/>
    </row>
    <row r="88" spans="1:5" ht="16.5" x14ac:dyDescent="0.3">
      <c r="A88" s="2"/>
      <c r="B88" s="11"/>
      <c r="C88" s="11"/>
      <c r="D88" s="11"/>
      <c r="E88" s="11"/>
    </row>
    <row r="89" spans="1:5" ht="16.5" x14ac:dyDescent="0.3">
      <c r="A89" s="2"/>
      <c r="B89" s="11"/>
      <c r="C89" s="11"/>
      <c r="D89" s="11"/>
      <c r="E89" s="11"/>
    </row>
    <row r="90" spans="1:5" ht="16.5" x14ac:dyDescent="0.3">
      <c r="A90" s="2"/>
      <c r="B90" s="11"/>
      <c r="C90" s="11"/>
      <c r="D90" s="11"/>
      <c r="E90" s="11"/>
    </row>
    <row r="91" spans="1:5" ht="16.5" x14ac:dyDescent="0.3">
      <c r="A91" s="2"/>
      <c r="B91" s="11"/>
      <c r="C91" s="11"/>
      <c r="D91" s="11"/>
      <c r="E91" s="11"/>
    </row>
    <row r="92" spans="1:5" ht="16.5" x14ac:dyDescent="0.3">
      <c r="A92" s="2"/>
      <c r="B92" s="11"/>
      <c r="C92" s="11"/>
      <c r="D92" s="11"/>
      <c r="E92" s="11"/>
    </row>
    <row r="93" spans="1:5" ht="16.5" x14ac:dyDescent="0.3">
      <c r="A93" s="2"/>
      <c r="B93" s="11"/>
      <c r="C93" s="11"/>
      <c r="D93" s="11"/>
      <c r="E93" s="11"/>
    </row>
    <row r="94" spans="1:5" ht="16.5" x14ac:dyDescent="0.3">
      <c r="A94" s="2"/>
      <c r="B94" s="11"/>
      <c r="C94" s="11"/>
      <c r="D94" s="11"/>
      <c r="E94" s="11"/>
    </row>
    <row r="95" spans="1:5" ht="16.5" x14ac:dyDescent="0.3">
      <c r="A95" s="2"/>
      <c r="B95" s="11"/>
      <c r="C95" s="11"/>
      <c r="D95" s="11"/>
      <c r="E95" s="11"/>
    </row>
    <row r="96" spans="1:5" ht="16.5" x14ac:dyDescent="0.3">
      <c r="A96" s="2"/>
      <c r="B96" s="11"/>
      <c r="C96" s="11"/>
      <c r="D96" s="11"/>
      <c r="E96" s="11"/>
    </row>
    <row r="97" spans="1:5" ht="16.5" x14ac:dyDescent="0.3">
      <c r="A97" s="2"/>
      <c r="B97" s="11"/>
      <c r="C97" s="11"/>
      <c r="D97" s="11"/>
      <c r="E97" s="11"/>
    </row>
    <row r="98" spans="1:5" ht="16.5" x14ac:dyDescent="0.3">
      <c r="A98" s="2"/>
      <c r="B98" s="11"/>
      <c r="C98" s="11"/>
      <c r="D98" s="11"/>
      <c r="E98" s="11"/>
    </row>
    <row r="99" spans="1:5" ht="16.5" x14ac:dyDescent="0.3">
      <c r="A99" s="2"/>
      <c r="B99" s="11"/>
      <c r="C99" s="11"/>
      <c r="D99" s="11"/>
      <c r="E99" s="11"/>
    </row>
    <row r="100" spans="1:5" ht="16.5" x14ac:dyDescent="0.3">
      <c r="A100" s="2"/>
      <c r="B100" s="11"/>
      <c r="C100" s="11"/>
      <c r="D100" s="11"/>
      <c r="E100" s="11"/>
    </row>
    <row r="101" spans="1:5" ht="16.5" x14ac:dyDescent="0.3">
      <c r="A101" s="2"/>
      <c r="B101" s="11"/>
      <c r="C101" s="11"/>
      <c r="D101" s="11"/>
      <c r="E101" s="11"/>
    </row>
    <row r="102" spans="1:5" ht="16.5" x14ac:dyDescent="0.3">
      <c r="A102" s="2"/>
      <c r="B102" s="11"/>
      <c r="C102" s="11"/>
      <c r="D102" s="11"/>
      <c r="E102" s="11"/>
    </row>
    <row r="103" spans="1:5" ht="16.5" x14ac:dyDescent="0.3">
      <c r="A103" s="2"/>
      <c r="B103" s="11"/>
      <c r="C103" s="11"/>
      <c r="D103" s="11"/>
      <c r="E103" s="11"/>
    </row>
    <row r="104" spans="1:5" ht="16.5" x14ac:dyDescent="0.3">
      <c r="A104" s="2"/>
      <c r="B104" s="11"/>
      <c r="C104" s="11"/>
      <c r="D104" s="11"/>
      <c r="E104" s="11"/>
    </row>
    <row r="105" spans="1:5" ht="16.5" x14ac:dyDescent="0.3">
      <c r="A105" s="2"/>
      <c r="B105" s="11"/>
      <c r="C105" s="11"/>
      <c r="D105" s="11"/>
      <c r="E105" s="11"/>
    </row>
    <row r="106" spans="1:5" ht="16.5" x14ac:dyDescent="0.3">
      <c r="A106" s="2"/>
      <c r="B106" s="11"/>
      <c r="C106" s="11"/>
      <c r="D106" s="11"/>
      <c r="E106" s="11"/>
    </row>
    <row r="107" spans="1:5" ht="16.5" x14ac:dyDescent="0.3">
      <c r="A107" s="2"/>
      <c r="B107" s="11"/>
      <c r="C107" s="11"/>
      <c r="D107" s="11"/>
      <c r="E107" s="11"/>
    </row>
    <row r="108" spans="1:5" ht="16.5" x14ac:dyDescent="0.3">
      <c r="A108" s="2"/>
      <c r="B108" s="11"/>
      <c r="C108" s="11"/>
      <c r="D108" s="11"/>
      <c r="E108" s="11"/>
    </row>
    <row r="109" spans="1:5" ht="16.5" x14ac:dyDescent="0.3">
      <c r="A109" s="2"/>
      <c r="B109" s="11"/>
      <c r="C109" s="11"/>
      <c r="D109" s="11"/>
      <c r="E109" s="11"/>
    </row>
    <row r="110" spans="1:5" ht="16.5" x14ac:dyDescent="0.3">
      <c r="A110" s="2"/>
      <c r="B110" s="11"/>
      <c r="C110" s="11"/>
      <c r="D110" s="11"/>
      <c r="E110" s="11"/>
    </row>
    <row r="111" spans="1:5" ht="16.5" x14ac:dyDescent="0.3">
      <c r="A111" s="2"/>
      <c r="B111" s="11"/>
      <c r="C111" s="11"/>
      <c r="D111" s="11"/>
      <c r="E111" s="11"/>
    </row>
    <row r="112" spans="1:5" ht="16.5" x14ac:dyDescent="0.3">
      <c r="A112" s="2"/>
      <c r="B112" s="11"/>
      <c r="C112" s="11"/>
      <c r="D112" s="11"/>
      <c r="E112" s="11"/>
    </row>
    <row r="113" spans="1:5" ht="16.5" x14ac:dyDescent="0.3">
      <c r="A113" s="2"/>
      <c r="B113" s="11"/>
      <c r="C113" s="11"/>
      <c r="D113" s="11"/>
      <c r="E113" s="11"/>
    </row>
    <row r="114" spans="1:5" ht="16.5" x14ac:dyDescent="0.3">
      <c r="A114" s="2"/>
      <c r="B114" s="11"/>
      <c r="C114" s="11"/>
      <c r="D114" s="11"/>
      <c r="E114" s="11"/>
    </row>
  </sheetData>
  <sheetProtection algorithmName="SHA-512" hashValue="B/ObirDkGjZ7m6qeNEuDKnMit1KiXXeoGR4t5H9dgv9gsiIpCJSG00s75UP0fZMWz4NfwnrtMjeEPXmqsC+vrg==" saltValue="R/BkkTLf0scuK5ucyZ/PYQ==" spinCount="100000" sheet="1" objects="1" scenarios="1"/>
  <mergeCells count="1">
    <mergeCell ref="B1:E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573B-334D-4B16-AA82-0B6AA77FAEFE}">
  <sheetPr>
    <tabColor rgb="FF26ACE2"/>
  </sheetPr>
  <dimension ref="A1:O97"/>
  <sheetViews>
    <sheetView topLeftCell="A5" workbookViewId="0">
      <selection activeCell="B22" sqref="B22"/>
    </sheetView>
  </sheetViews>
  <sheetFormatPr baseColWidth="10" defaultColWidth="11.42578125" defaultRowHeight="15" x14ac:dyDescent="0.25"/>
  <cols>
    <col min="1" max="1" width="78.42578125" customWidth="1"/>
    <col min="2" max="5" width="13.7109375" customWidth="1"/>
  </cols>
  <sheetData>
    <row r="1" spans="1:5" hidden="1" x14ac:dyDescent="0.25"/>
    <row r="2" spans="1:5" hidden="1" x14ac:dyDescent="0.25"/>
    <row r="3" spans="1:5" ht="16.5" hidden="1" x14ac:dyDescent="0.3">
      <c r="A3" s="26"/>
      <c r="B3" s="107"/>
      <c r="C3" s="107"/>
      <c r="D3" s="107"/>
      <c r="E3" s="107"/>
    </row>
    <row r="4" spans="1:5" ht="16.5" hidden="1" x14ac:dyDescent="0.3">
      <c r="A4" s="2"/>
      <c r="B4" s="8"/>
      <c r="C4" s="8"/>
      <c r="D4" s="8"/>
      <c r="E4" s="8"/>
    </row>
    <row r="5" spans="1:5" ht="16.5" x14ac:dyDescent="0.3">
      <c r="A5" s="26"/>
      <c r="B5" s="107" t="s">
        <v>2</v>
      </c>
      <c r="C5" s="107"/>
      <c r="D5" s="107"/>
      <c r="E5" s="107"/>
    </row>
    <row r="6" spans="1:5" ht="16.5" x14ac:dyDescent="0.3">
      <c r="A6" s="8" t="s">
        <v>174</v>
      </c>
      <c r="B6" s="8">
        <v>2026</v>
      </c>
      <c r="C6" s="8">
        <v>2027</v>
      </c>
      <c r="D6" s="8">
        <v>2028</v>
      </c>
      <c r="E6" s="8">
        <v>2029</v>
      </c>
    </row>
    <row r="7" spans="1:5" ht="16.5" x14ac:dyDescent="0.3">
      <c r="A7" s="2" t="s">
        <v>241</v>
      </c>
      <c r="B7" s="11">
        <v>18000</v>
      </c>
      <c r="C7" s="11">
        <v>22300</v>
      </c>
      <c r="D7" s="11">
        <v>9000</v>
      </c>
      <c r="E7" s="11">
        <v>0</v>
      </c>
    </row>
    <row r="8" spans="1:5" ht="16.5" x14ac:dyDescent="0.3">
      <c r="A8" s="2" t="s">
        <v>180</v>
      </c>
      <c r="B8" s="11">
        <v>3900</v>
      </c>
      <c r="C8" s="11">
        <v>0</v>
      </c>
      <c r="D8" s="11">
        <v>0</v>
      </c>
      <c r="E8" s="11">
        <v>0</v>
      </c>
    </row>
    <row r="9" spans="1:5" ht="16.5" x14ac:dyDescent="0.3">
      <c r="A9" s="2" t="s">
        <v>242</v>
      </c>
      <c r="B9" s="11">
        <v>3500</v>
      </c>
      <c r="C9" s="11">
        <v>1000</v>
      </c>
      <c r="D9" s="11">
        <v>1000</v>
      </c>
      <c r="E9" s="11">
        <v>1000</v>
      </c>
    </row>
    <row r="10" spans="1:5" ht="16.5" x14ac:dyDescent="0.3">
      <c r="A10" s="2" t="s">
        <v>243</v>
      </c>
      <c r="B10" s="11">
        <v>3500</v>
      </c>
      <c r="C10" s="11">
        <v>3500</v>
      </c>
      <c r="D10" s="11">
        <v>3500</v>
      </c>
      <c r="E10" s="11">
        <v>3500</v>
      </c>
    </row>
    <row r="11" spans="1:5" ht="16.5" x14ac:dyDescent="0.3">
      <c r="A11" s="2" t="s">
        <v>245</v>
      </c>
      <c r="B11" s="11">
        <v>3350</v>
      </c>
      <c r="C11" s="11">
        <v>3500</v>
      </c>
      <c r="D11" s="11">
        <v>3300</v>
      </c>
      <c r="E11" s="11">
        <v>2900</v>
      </c>
    </row>
    <row r="12" spans="1:5" ht="16.5" x14ac:dyDescent="0.3">
      <c r="A12" s="2" t="s">
        <v>244</v>
      </c>
      <c r="B12" s="11">
        <v>3000</v>
      </c>
      <c r="C12" s="11">
        <v>3000</v>
      </c>
      <c r="D12" s="11">
        <v>3000</v>
      </c>
      <c r="E12" s="11">
        <v>20000</v>
      </c>
    </row>
    <row r="13" spans="1:5" ht="16.5" x14ac:dyDescent="0.3">
      <c r="A13" s="2" t="s">
        <v>300</v>
      </c>
      <c r="B13" s="11">
        <v>2800</v>
      </c>
      <c r="C13" s="11">
        <v>0</v>
      </c>
      <c r="D13" s="11">
        <v>0</v>
      </c>
      <c r="E13" s="11">
        <v>0</v>
      </c>
    </row>
    <row r="14" spans="1:5" ht="16.5" x14ac:dyDescent="0.3">
      <c r="A14" s="2" t="s">
        <v>246</v>
      </c>
      <c r="B14" s="11">
        <v>2300</v>
      </c>
      <c r="C14" s="11">
        <v>1800</v>
      </c>
      <c r="D14" s="11">
        <v>1300</v>
      </c>
      <c r="E14" s="11">
        <v>1300</v>
      </c>
    </row>
    <row r="15" spans="1:5" ht="16.5" x14ac:dyDescent="0.3">
      <c r="A15" s="2" t="s">
        <v>247</v>
      </c>
      <c r="B15" s="11">
        <v>2000</v>
      </c>
      <c r="C15" s="11">
        <v>0</v>
      </c>
      <c r="D15" s="11">
        <v>0</v>
      </c>
      <c r="E15" s="11">
        <v>0</v>
      </c>
    </row>
    <row r="16" spans="1:5" ht="16.5" x14ac:dyDescent="0.3">
      <c r="A16" s="2" t="s">
        <v>248</v>
      </c>
      <c r="B16" s="11">
        <v>1800</v>
      </c>
      <c r="C16" s="11">
        <v>1800</v>
      </c>
      <c r="D16" s="11">
        <v>6800</v>
      </c>
      <c r="E16" s="11">
        <v>60000</v>
      </c>
    </row>
    <row r="17" spans="1:5" ht="16.5" x14ac:dyDescent="0.3">
      <c r="A17" s="2" t="s">
        <v>249</v>
      </c>
      <c r="B17" s="11">
        <v>1750</v>
      </c>
      <c r="C17" s="11">
        <v>2250</v>
      </c>
      <c r="D17" s="11">
        <v>2250</v>
      </c>
      <c r="E17" s="11">
        <v>2250</v>
      </c>
    </row>
    <row r="18" spans="1:5" ht="16.5" x14ac:dyDescent="0.3">
      <c r="A18" s="2" t="s">
        <v>250</v>
      </c>
      <c r="B18" s="11">
        <v>1700</v>
      </c>
      <c r="C18" s="11">
        <v>1700</v>
      </c>
      <c r="D18" s="11">
        <v>1700</v>
      </c>
      <c r="E18" s="11">
        <v>1700</v>
      </c>
    </row>
    <row r="19" spans="1:5" ht="16.5" x14ac:dyDescent="0.3">
      <c r="A19" s="2" t="s">
        <v>251</v>
      </c>
      <c r="B19" s="11">
        <v>1500</v>
      </c>
      <c r="C19" s="11">
        <v>1500</v>
      </c>
      <c r="D19" s="11">
        <v>1500</v>
      </c>
      <c r="E19" s="11">
        <v>1500</v>
      </c>
    </row>
    <row r="20" spans="1:5" ht="16.5" x14ac:dyDescent="0.3">
      <c r="A20" s="2" t="s">
        <v>252</v>
      </c>
      <c r="B20" s="11">
        <v>1500</v>
      </c>
      <c r="C20" s="11">
        <v>1500</v>
      </c>
      <c r="D20" s="11">
        <v>1500</v>
      </c>
      <c r="E20" s="11">
        <v>1500</v>
      </c>
    </row>
    <row r="21" spans="1:5" ht="16.5" x14ac:dyDescent="0.3">
      <c r="A21" s="2" t="s">
        <v>253</v>
      </c>
      <c r="B21" s="11">
        <v>1500</v>
      </c>
      <c r="C21" s="11">
        <v>0</v>
      </c>
      <c r="D21" s="11">
        <v>0</v>
      </c>
      <c r="E21" s="11">
        <v>0</v>
      </c>
    </row>
    <row r="22" spans="1:5" ht="16.5" x14ac:dyDescent="0.3">
      <c r="A22" s="2" t="s">
        <v>254</v>
      </c>
      <c r="B22" s="11">
        <v>1500</v>
      </c>
      <c r="C22" s="11">
        <v>0</v>
      </c>
      <c r="D22" s="11">
        <v>0</v>
      </c>
      <c r="E22" s="11">
        <v>0</v>
      </c>
    </row>
    <row r="23" spans="1:5" ht="16.5" x14ac:dyDescent="0.3">
      <c r="A23" s="2" t="s">
        <v>255</v>
      </c>
      <c r="B23" s="11">
        <v>1500</v>
      </c>
      <c r="C23" s="11">
        <v>0</v>
      </c>
      <c r="D23" s="11">
        <v>0</v>
      </c>
      <c r="E23" s="11">
        <v>0</v>
      </c>
    </row>
    <row r="24" spans="1:5" ht="16.5" x14ac:dyDescent="0.3">
      <c r="A24" s="2" t="s">
        <v>256</v>
      </c>
      <c r="B24" s="11">
        <v>1400</v>
      </c>
      <c r="C24" s="11">
        <v>1400</v>
      </c>
      <c r="D24" s="11">
        <v>1400</v>
      </c>
      <c r="E24" s="11">
        <v>1400</v>
      </c>
    </row>
    <row r="25" spans="1:5" ht="16.5" x14ac:dyDescent="0.3">
      <c r="A25" s="2" t="s">
        <v>257</v>
      </c>
      <c r="B25" s="11">
        <v>1300</v>
      </c>
      <c r="C25" s="11">
        <v>0</v>
      </c>
      <c r="D25" s="11">
        <v>0</v>
      </c>
      <c r="E25" s="11">
        <v>0</v>
      </c>
    </row>
    <row r="26" spans="1:5" ht="16.5" x14ac:dyDescent="0.3">
      <c r="A26" s="2" t="s">
        <v>301</v>
      </c>
      <c r="B26" s="11">
        <v>1300</v>
      </c>
      <c r="C26" s="11">
        <v>1300</v>
      </c>
      <c r="D26" s="11">
        <v>0</v>
      </c>
      <c r="E26" s="11">
        <v>0</v>
      </c>
    </row>
    <row r="27" spans="1:5" ht="16.5" x14ac:dyDescent="0.3">
      <c r="A27" s="2" t="s">
        <v>302</v>
      </c>
      <c r="B27" s="11">
        <v>1110</v>
      </c>
      <c r="C27" s="11">
        <v>0</v>
      </c>
      <c r="D27" s="11">
        <v>0</v>
      </c>
      <c r="E27" s="11">
        <v>0</v>
      </c>
    </row>
    <row r="28" spans="1:5" ht="16.5" x14ac:dyDescent="0.3">
      <c r="A28" s="2" t="s">
        <v>258</v>
      </c>
      <c r="B28" s="11">
        <v>1000</v>
      </c>
      <c r="C28" s="11">
        <v>0</v>
      </c>
      <c r="D28" s="11">
        <v>0</v>
      </c>
      <c r="E28" s="11">
        <v>0</v>
      </c>
    </row>
    <row r="29" spans="1:5" ht="16.5" x14ac:dyDescent="0.3">
      <c r="A29" s="2" t="s">
        <v>259</v>
      </c>
      <c r="B29" s="11">
        <v>1000</v>
      </c>
      <c r="C29" s="11">
        <v>0</v>
      </c>
      <c r="D29" s="11">
        <v>0</v>
      </c>
      <c r="E29" s="11">
        <v>0</v>
      </c>
    </row>
    <row r="30" spans="1:5" ht="16.5" x14ac:dyDescent="0.3">
      <c r="A30" s="2" t="s">
        <v>260</v>
      </c>
      <c r="B30" s="11">
        <v>1000</v>
      </c>
      <c r="C30" s="11">
        <v>1000</v>
      </c>
      <c r="D30" s="11">
        <v>0</v>
      </c>
      <c r="E30" s="11">
        <v>0</v>
      </c>
    </row>
    <row r="31" spans="1:5" ht="16.5" x14ac:dyDescent="0.3">
      <c r="A31" s="2" t="s">
        <v>261</v>
      </c>
      <c r="B31" s="11">
        <v>1000</v>
      </c>
      <c r="C31" s="11">
        <v>0</v>
      </c>
      <c r="D31" s="11">
        <v>0</v>
      </c>
      <c r="E31" s="11">
        <v>0</v>
      </c>
    </row>
    <row r="32" spans="1:5" ht="16.5" x14ac:dyDescent="0.3">
      <c r="A32" s="2" t="s">
        <v>262</v>
      </c>
      <c r="B32" s="11">
        <v>1000</v>
      </c>
      <c r="C32" s="11">
        <v>1000</v>
      </c>
      <c r="D32" s="11">
        <v>1000</v>
      </c>
      <c r="E32" s="11">
        <v>1000</v>
      </c>
    </row>
    <row r="33" spans="1:13" ht="16.5" x14ac:dyDescent="0.3">
      <c r="A33" s="2" t="s">
        <v>263</v>
      </c>
      <c r="B33" s="11">
        <v>1000</v>
      </c>
      <c r="C33" s="11">
        <v>1000</v>
      </c>
      <c r="D33" s="11">
        <v>1000</v>
      </c>
      <c r="E33" s="11">
        <v>1000</v>
      </c>
      <c r="I33" s="2"/>
      <c r="J33" s="11"/>
      <c r="K33" s="11"/>
      <c r="L33" s="11"/>
      <c r="M33" s="11"/>
    </row>
    <row r="34" spans="1:13" ht="16.5" x14ac:dyDescent="0.3">
      <c r="A34" s="2" t="s">
        <v>264</v>
      </c>
      <c r="B34" s="11">
        <v>1000</v>
      </c>
      <c r="C34" s="11">
        <v>1000</v>
      </c>
      <c r="D34" s="11">
        <v>1000</v>
      </c>
      <c r="E34" s="11">
        <v>1000</v>
      </c>
    </row>
    <row r="35" spans="1:13" ht="16.5" x14ac:dyDescent="0.3">
      <c r="A35" s="2" t="s">
        <v>265</v>
      </c>
      <c r="B35" s="11">
        <v>1000</v>
      </c>
      <c r="C35" s="11">
        <v>0</v>
      </c>
      <c r="D35" s="11">
        <v>0</v>
      </c>
      <c r="E35" s="11">
        <v>0</v>
      </c>
    </row>
    <row r="36" spans="1:13" ht="16.5" x14ac:dyDescent="0.3">
      <c r="A36" s="2" t="s">
        <v>266</v>
      </c>
      <c r="B36" s="11">
        <v>800</v>
      </c>
      <c r="C36" s="11">
        <v>800</v>
      </c>
      <c r="D36" s="11">
        <v>800</v>
      </c>
      <c r="E36" s="11">
        <v>800</v>
      </c>
    </row>
    <row r="37" spans="1:13" ht="16.5" x14ac:dyDescent="0.3">
      <c r="A37" s="2" t="s">
        <v>267</v>
      </c>
      <c r="B37" s="11">
        <v>800</v>
      </c>
      <c r="C37" s="11">
        <v>0</v>
      </c>
      <c r="D37" s="11">
        <v>0</v>
      </c>
      <c r="E37" s="11">
        <v>0</v>
      </c>
    </row>
    <row r="38" spans="1:13" ht="16.5" x14ac:dyDescent="0.3">
      <c r="A38" s="2" t="s">
        <v>268</v>
      </c>
      <c r="B38" s="11">
        <v>760</v>
      </c>
      <c r="C38" s="11">
        <v>0</v>
      </c>
      <c r="D38" s="11">
        <v>0</v>
      </c>
      <c r="E38" s="11">
        <v>0</v>
      </c>
    </row>
    <row r="39" spans="1:13" ht="16.5" x14ac:dyDescent="0.3">
      <c r="A39" s="2" t="s">
        <v>269</v>
      </c>
      <c r="B39" s="11">
        <v>600</v>
      </c>
      <c r="C39" s="11">
        <v>0</v>
      </c>
      <c r="D39" s="11">
        <v>0</v>
      </c>
      <c r="E39" s="11">
        <v>0</v>
      </c>
    </row>
    <row r="40" spans="1:13" ht="16.5" x14ac:dyDescent="0.3">
      <c r="A40" s="2" t="s">
        <v>270</v>
      </c>
      <c r="B40" s="11">
        <v>500</v>
      </c>
      <c r="C40" s="11">
        <v>1400</v>
      </c>
      <c r="D40" s="11">
        <v>0</v>
      </c>
      <c r="E40" s="11">
        <v>0</v>
      </c>
    </row>
    <row r="41" spans="1:13" ht="16.5" x14ac:dyDescent="0.3">
      <c r="A41" s="2" t="s">
        <v>271</v>
      </c>
      <c r="B41" s="11">
        <v>500</v>
      </c>
      <c r="C41" s="11">
        <v>1300</v>
      </c>
      <c r="D41" s="11">
        <v>1500</v>
      </c>
      <c r="E41" s="11">
        <v>1300</v>
      </c>
    </row>
    <row r="42" spans="1:13" ht="16.5" x14ac:dyDescent="0.3">
      <c r="A42" s="2" t="s">
        <v>272</v>
      </c>
      <c r="B42" s="11">
        <v>500</v>
      </c>
      <c r="C42" s="11">
        <v>500</v>
      </c>
      <c r="D42" s="11">
        <v>500</v>
      </c>
      <c r="E42" s="11">
        <v>500</v>
      </c>
    </row>
    <row r="43" spans="1:13" ht="16.5" x14ac:dyDescent="0.3">
      <c r="A43" s="2" t="s">
        <v>273</v>
      </c>
      <c r="B43" s="11">
        <v>500</v>
      </c>
      <c r="C43" s="11">
        <v>500</v>
      </c>
      <c r="D43" s="11">
        <v>500</v>
      </c>
      <c r="E43" s="11">
        <v>500</v>
      </c>
    </row>
    <row r="44" spans="1:13" ht="16.5" x14ac:dyDescent="0.3">
      <c r="A44" s="2" t="s">
        <v>274</v>
      </c>
      <c r="B44" s="11">
        <v>500</v>
      </c>
      <c r="C44" s="11">
        <v>0</v>
      </c>
      <c r="D44" s="11">
        <v>0</v>
      </c>
      <c r="E44" s="11">
        <v>0</v>
      </c>
    </row>
    <row r="45" spans="1:13" ht="16.5" x14ac:dyDescent="0.3">
      <c r="A45" s="2" t="s">
        <v>275</v>
      </c>
      <c r="B45" s="11">
        <v>500</v>
      </c>
      <c r="C45" s="11">
        <v>0</v>
      </c>
      <c r="D45" s="11">
        <v>0</v>
      </c>
      <c r="E45" s="11">
        <v>0</v>
      </c>
    </row>
    <row r="46" spans="1:13" ht="16.5" x14ac:dyDescent="0.3">
      <c r="A46" s="2" t="s">
        <v>276</v>
      </c>
      <c r="B46" s="11">
        <v>500</v>
      </c>
      <c r="C46" s="11">
        <v>500</v>
      </c>
      <c r="D46" s="11">
        <v>500</v>
      </c>
      <c r="E46" s="11">
        <v>500</v>
      </c>
    </row>
    <row r="47" spans="1:13" ht="16.5" x14ac:dyDescent="0.3">
      <c r="A47" s="2" t="s">
        <v>277</v>
      </c>
      <c r="B47" s="11">
        <v>400</v>
      </c>
      <c r="C47" s="11">
        <v>400</v>
      </c>
      <c r="D47" s="11">
        <v>400</v>
      </c>
      <c r="E47" s="11">
        <v>400</v>
      </c>
    </row>
    <row r="48" spans="1:13" ht="16.5" x14ac:dyDescent="0.3">
      <c r="A48" s="2" t="s">
        <v>278</v>
      </c>
      <c r="B48" s="11">
        <v>300</v>
      </c>
      <c r="C48" s="11">
        <v>300</v>
      </c>
      <c r="D48" s="11">
        <v>300</v>
      </c>
      <c r="E48" s="11">
        <v>300</v>
      </c>
    </row>
    <row r="49" spans="1:15" ht="16.5" x14ac:dyDescent="0.3">
      <c r="A49" s="2" t="s">
        <v>279</v>
      </c>
      <c r="B49" s="11">
        <v>250</v>
      </c>
      <c r="C49" s="11">
        <v>1000</v>
      </c>
      <c r="D49" s="11">
        <v>2000</v>
      </c>
      <c r="E49" s="11">
        <v>0</v>
      </c>
    </row>
    <row r="50" spans="1:15" ht="16.5" x14ac:dyDescent="0.3">
      <c r="A50" s="2" t="s">
        <v>215</v>
      </c>
      <c r="B50" s="11">
        <v>250</v>
      </c>
      <c r="C50" s="11">
        <v>250</v>
      </c>
      <c r="D50" s="11">
        <v>250</v>
      </c>
      <c r="E50" s="11">
        <v>250</v>
      </c>
    </row>
    <row r="51" spans="1:15" ht="16.5" x14ac:dyDescent="0.3">
      <c r="A51" s="2" t="s">
        <v>280</v>
      </c>
      <c r="B51" s="11">
        <v>235</v>
      </c>
      <c r="C51" s="11">
        <v>0</v>
      </c>
      <c r="D51" s="11">
        <v>0</v>
      </c>
      <c r="E51" s="11">
        <v>0</v>
      </c>
    </row>
    <row r="52" spans="1:15" ht="16.5" x14ac:dyDescent="0.3">
      <c r="A52" s="2" t="s">
        <v>281</v>
      </c>
      <c r="B52" s="11">
        <v>200</v>
      </c>
      <c r="C52" s="11">
        <v>200</v>
      </c>
      <c r="D52" s="11">
        <v>200</v>
      </c>
      <c r="E52" s="11">
        <v>200</v>
      </c>
    </row>
    <row r="53" spans="1:15" ht="16.5" x14ac:dyDescent="0.3">
      <c r="A53" s="2" t="s">
        <v>282</v>
      </c>
      <c r="B53" s="11">
        <v>200</v>
      </c>
      <c r="C53" s="11">
        <v>200</v>
      </c>
      <c r="D53" s="11">
        <v>200</v>
      </c>
      <c r="E53" s="11">
        <v>200</v>
      </c>
    </row>
    <row r="54" spans="1:15" ht="16.5" x14ac:dyDescent="0.3">
      <c r="A54" s="2" t="s">
        <v>283</v>
      </c>
      <c r="B54" s="11">
        <v>200</v>
      </c>
      <c r="C54" s="11">
        <v>200</v>
      </c>
      <c r="D54" s="11">
        <v>200</v>
      </c>
      <c r="E54" s="11">
        <v>200</v>
      </c>
    </row>
    <row r="55" spans="1:15" ht="16.5" x14ac:dyDescent="0.3">
      <c r="A55" s="2" t="s">
        <v>284</v>
      </c>
      <c r="B55" s="11">
        <v>150</v>
      </c>
      <c r="C55" s="11">
        <v>150</v>
      </c>
      <c r="D55" s="11">
        <v>150</v>
      </c>
      <c r="E55" s="11">
        <v>150</v>
      </c>
    </row>
    <row r="56" spans="1:15" ht="16.5" x14ac:dyDescent="0.3">
      <c r="A56" s="2" t="s">
        <v>285</v>
      </c>
      <c r="B56" s="11">
        <v>0</v>
      </c>
      <c r="C56" s="11">
        <v>1200</v>
      </c>
      <c r="D56" s="11">
        <v>0</v>
      </c>
      <c r="E56" s="11">
        <v>0</v>
      </c>
      <c r="K56" s="2"/>
      <c r="L56" s="11"/>
      <c r="M56" s="11"/>
      <c r="N56" s="11"/>
      <c r="O56" s="11"/>
    </row>
    <row r="57" spans="1:15" ht="16.5" x14ac:dyDescent="0.3">
      <c r="A57" s="2" t="s">
        <v>286</v>
      </c>
      <c r="B57" s="11">
        <v>0</v>
      </c>
      <c r="C57" s="11">
        <v>600</v>
      </c>
      <c r="D57" s="11">
        <v>0</v>
      </c>
      <c r="E57" s="11">
        <v>0</v>
      </c>
    </row>
    <row r="58" spans="1:15" ht="16.5" x14ac:dyDescent="0.3">
      <c r="A58" s="2" t="s">
        <v>287</v>
      </c>
      <c r="B58" s="11">
        <v>0</v>
      </c>
      <c r="C58" s="11">
        <v>0</v>
      </c>
      <c r="D58" s="11">
        <v>5000</v>
      </c>
      <c r="E58" s="11">
        <v>0</v>
      </c>
    </row>
    <row r="59" spans="1:15" ht="16.5" x14ac:dyDescent="0.3">
      <c r="A59" s="2" t="s">
        <v>288</v>
      </c>
      <c r="B59" s="11">
        <v>0</v>
      </c>
      <c r="C59" s="11">
        <v>0</v>
      </c>
      <c r="D59" s="11">
        <v>0</v>
      </c>
      <c r="E59" s="11">
        <v>2500</v>
      </c>
    </row>
    <row r="60" spans="1:15" ht="16.5" x14ac:dyDescent="0.3">
      <c r="A60" s="2" t="s">
        <v>289</v>
      </c>
      <c r="B60" s="11">
        <v>0</v>
      </c>
      <c r="C60" s="11">
        <v>0</v>
      </c>
      <c r="D60" s="11">
        <v>8500</v>
      </c>
      <c r="E60" s="11">
        <v>0</v>
      </c>
    </row>
    <row r="61" spans="1:15" ht="16.5" x14ac:dyDescent="0.3">
      <c r="A61" s="2" t="s">
        <v>290</v>
      </c>
      <c r="B61" s="11">
        <v>0</v>
      </c>
      <c r="C61" s="11">
        <v>0</v>
      </c>
      <c r="D61" s="11">
        <v>0</v>
      </c>
      <c r="E61" s="11">
        <v>0</v>
      </c>
    </row>
    <row r="62" spans="1:15" ht="16.5" x14ac:dyDescent="0.3">
      <c r="A62" s="2" t="s">
        <v>303</v>
      </c>
      <c r="B62" s="11">
        <v>0</v>
      </c>
      <c r="C62" s="11">
        <v>0</v>
      </c>
      <c r="D62" s="11">
        <v>1300</v>
      </c>
      <c r="E62" s="11">
        <v>0</v>
      </c>
    </row>
    <row r="63" spans="1:15" ht="16.5" x14ac:dyDescent="0.3">
      <c r="A63" s="2" t="s">
        <v>291</v>
      </c>
      <c r="B63" s="11">
        <v>-900</v>
      </c>
      <c r="C63" s="11">
        <v>0</v>
      </c>
      <c r="D63" s="11">
        <v>0</v>
      </c>
      <c r="E63" s="11">
        <v>0</v>
      </c>
    </row>
    <row r="64" spans="1:15" ht="16.5" x14ac:dyDescent="0.3">
      <c r="A64" s="2" t="s">
        <v>292</v>
      </c>
      <c r="B64" s="11">
        <v>-4600</v>
      </c>
      <c r="C64" s="11">
        <v>-4600</v>
      </c>
      <c r="D64" s="11">
        <v>-4600</v>
      </c>
      <c r="E64" s="11">
        <v>-4600</v>
      </c>
    </row>
    <row r="65" spans="1:5" ht="16.5" x14ac:dyDescent="0.3">
      <c r="A65" s="2" t="s">
        <v>202</v>
      </c>
      <c r="B65" s="11">
        <v>-71355</v>
      </c>
      <c r="C65" s="11">
        <v>-55450</v>
      </c>
      <c r="D65" s="11">
        <v>-56950</v>
      </c>
      <c r="E65" s="11">
        <v>-103250</v>
      </c>
    </row>
    <row r="66" spans="1:5" ht="16.5" x14ac:dyDescent="0.3">
      <c r="A66" s="6" t="s">
        <v>73</v>
      </c>
      <c r="B66" s="88">
        <f>SUM(B7:B65)</f>
        <v>0</v>
      </c>
      <c r="C66" s="88">
        <f t="shared" ref="C66:E66" si="0">SUM(C7:C65)</f>
        <v>0</v>
      </c>
      <c r="D66" s="88">
        <f t="shared" si="0"/>
        <v>0</v>
      </c>
      <c r="E66" s="88">
        <f t="shared" si="0"/>
        <v>0</v>
      </c>
    </row>
    <row r="67" spans="1:5" ht="16.5" x14ac:dyDescent="0.3">
      <c r="A67" s="2"/>
      <c r="B67" s="11"/>
      <c r="C67" s="11"/>
      <c r="D67" s="11"/>
      <c r="E67" s="11"/>
    </row>
    <row r="68" spans="1:5" ht="16.5" x14ac:dyDescent="0.3">
      <c r="A68" s="2"/>
      <c r="B68" s="11"/>
      <c r="C68" s="11"/>
      <c r="D68" s="11"/>
      <c r="E68" s="11"/>
    </row>
    <row r="69" spans="1:5" ht="16.5" x14ac:dyDescent="0.3">
      <c r="A69" s="2"/>
      <c r="B69" s="11"/>
      <c r="C69" s="11"/>
      <c r="D69" s="11"/>
      <c r="E69" s="11"/>
    </row>
    <row r="70" spans="1:5" ht="16.5" x14ac:dyDescent="0.3">
      <c r="A70" s="2"/>
      <c r="B70" s="11"/>
      <c r="C70" s="11"/>
      <c r="D70" s="11"/>
      <c r="E70" s="11"/>
    </row>
    <row r="71" spans="1:5" ht="16.5" x14ac:dyDescent="0.3">
      <c r="A71" s="2"/>
      <c r="B71" s="11"/>
      <c r="C71" s="11"/>
      <c r="D71" s="11"/>
      <c r="E71" s="11"/>
    </row>
    <row r="72" spans="1:5" ht="16.5" x14ac:dyDescent="0.3">
      <c r="A72" s="2"/>
      <c r="B72" s="11"/>
      <c r="C72" s="11"/>
      <c r="D72" s="11"/>
      <c r="E72" s="11"/>
    </row>
    <row r="73" spans="1:5" ht="16.5" x14ac:dyDescent="0.3">
      <c r="A73" s="2"/>
      <c r="B73" s="11"/>
      <c r="C73" s="11"/>
      <c r="D73" s="11"/>
      <c r="E73" s="11"/>
    </row>
    <row r="74" spans="1:5" ht="16.5" x14ac:dyDescent="0.3">
      <c r="A74" s="2"/>
      <c r="B74" s="11"/>
      <c r="C74" s="11"/>
      <c r="D74" s="11"/>
      <c r="E74" s="11"/>
    </row>
    <row r="75" spans="1:5" ht="16.5" x14ac:dyDescent="0.3">
      <c r="A75" s="2"/>
      <c r="B75" s="11"/>
      <c r="C75" s="11"/>
      <c r="D75" s="11"/>
      <c r="E75" s="11"/>
    </row>
    <row r="76" spans="1:5" ht="16.5" x14ac:dyDescent="0.3">
      <c r="A76" s="2"/>
      <c r="B76" s="11"/>
      <c r="C76" s="11"/>
      <c r="D76" s="11"/>
      <c r="E76" s="11"/>
    </row>
    <row r="77" spans="1:5" ht="16.5" x14ac:dyDescent="0.3">
      <c r="A77" s="2"/>
      <c r="B77" s="11"/>
      <c r="C77" s="11"/>
      <c r="D77" s="11"/>
      <c r="E77" s="11"/>
    </row>
    <row r="79" spans="1:5" ht="16.5" x14ac:dyDescent="0.3">
      <c r="A79" s="2"/>
      <c r="B79" s="11"/>
      <c r="C79" s="11"/>
      <c r="D79" s="11"/>
      <c r="E79" s="11"/>
    </row>
    <row r="80" spans="1:5" ht="16.5" x14ac:dyDescent="0.3">
      <c r="A80" s="2"/>
      <c r="B80" s="11"/>
      <c r="C80" s="11"/>
      <c r="D80" s="11"/>
      <c r="E80" s="11"/>
    </row>
    <row r="81" spans="1:5" ht="16.5" x14ac:dyDescent="0.3">
      <c r="A81" s="2"/>
      <c r="B81" s="11"/>
      <c r="C81" s="11"/>
      <c r="D81" s="11"/>
      <c r="E81" s="11"/>
    </row>
    <row r="82" spans="1:5" ht="16.5" x14ac:dyDescent="0.3">
      <c r="A82" s="2"/>
      <c r="B82" s="11"/>
      <c r="C82" s="11"/>
      <c r="D82" s="11"/>
      <c r="E82" s="11"/>
    </row>
    <row r="83" spans="1:5" ht="16.5" x14ac:dyDescent="0.3">
      <c r="A83" s="2"/>
      <c r="B83" s="11"/>
      <c r="C83" s="11"/>
      <c r="D83" s="11"/>
      <c r="E83" s="11"/>
    </row>
    <row r="84" spans="1:5" ht="16.5" x14ac:dyDescent="0.3">
      <c r="A84" s="2"/>
      <c r="B84" s="11"/>
      <c r="C84" s="11"/>
      <c r="D84" s="11"/>
      <c r="E84" s="11"/>
    </row>
    <row r="85" spans="1:5" ht="16.5" x14ac:dyDescent="0.3">
      <c r="A85" s="2"/>
      <c r="B85" s="11"/>
      <c r="C85" s="11"/>
      <c r="D85" s="11"/>
      <c r="E85" s="11"/>
    </row>
    <row r="86" spans="1:5" ht="16.5" x14ac:dyDescent="0.3">
      <c r="A86" s="2"/>
      <c r="B86" s="11"/>
      <c r="C86" s="11"/>
      <c r="D86" s="11"/>
      <c r="E86" s="11"/>
    </row>
    <row r="87" spans="1:5" ht="16.5" x14ac:dyDescent="0.3">
      <c r="A87" s="2"/>
      <c r="B87" s="11"/>
      <c r="C87" s="11"/>
      <c r="D87" s="11"/>
      <c r="E87" s="11"/>
    </row>
    <row r="88" spans="1:5" ht="16.5" x14ac:dyDescent="0.3">
      <c r="A88" s="2"/>
      <c r="B88" s="11"/>
      <c r="C88" s="11"/>
      <c r="D88" s="11"/>
      <c r="E88" s="11"/>
    </row>
    <row r="89" spans="1:5" ht="16.5" x14ac:dyDescent="0.3">
      <c r="A89" s="2"/>
      <c r="B89" s="11"/>
      <c r="C89" s="11"/>
      <c r="D89" s="11"/>
      <c r="E89" s="11"/>
    </row>
    <row r="90" spans="1:5" ht="16.5" x14ac:dyDescent="0.3">
      <c r="A90" s="2"/>
      <c r="B90" s="11"/>
      <c r="C90" s="11"/>
      <c r="D90" s="11"/>
      <c r="E90" s="11"/>
    </row>
    <row r="91" spans="1:5" ht="16.5" x14ac:dyDescent="0.3">
      <c r="A91" s="2"/>
      <c r="B91" s="11"/>
      <c r="C91" s="11"/>
      <c r="D91" s="11"/>
      <c r="E91" s="11"/>
    </row>
    <row r="92" spans="1:5" ht="16.5" x14ac:dyDescent="0.3">
      <c r="A92" s="2"/>
      <c r="B92" s="11"/>
      <c r="C92" s="11"/>
      <c r="D92" s="11"/>
      <c r="E92" s="11"/>
    </row>
    <row r="93" spans="1:5" ht="16.5" x14ac:dyDescent="0.3">
      <c r="A93" s="2"/>
      <c r="B93" s="11"/>
      <c r="C93" s="11"/>
      <c r="D93" s="11"/>
      <c r="E93" s="11"/>
    </row>
    <row r="94" spans="1:5" ht="16.5" x14ac:dyDescent="0.3">
      <c r="A94" s="2"/>
      <c r="B94" s="11"/>
      <c r="C94" s="11"/>
      <c r="D94" s="11"/>
      <c r="E94" s="11"/>
    </row>
    <row r="95" spans="1:5" ht="16.5" x14ac:dyDescent="0.3">
      <c r="A95" s="2"/>
      <c r="B95" s="11"/>
      <c r="C95" s="11"/>
      <c r="D95" s="11"/>
      <c r="E95" s="11"/>
    </row>
    <row r="96" spans="1:5" ht="16.5" x14ac:dyDescent="0.3">
      <c r="A96" s="2"/>
      <c r="B96" s="11"/>
      <c r="C96" s="11"/>
      <c r="D96" s="11"/>
      <c r="E96" s="11"/>
    </row>
    <row r="97" spans="1:5" ht="16.5" x14ac:dyDescent="0.3">
      <c r="A97" s="2"/>
      <c r="B97" s="11"/>
      <c r="C97" s="11"/>
      <c r="D97" s="11"/>
      <c r="E97" s="11"/>
    </row>
  </sheetData>
  <sheetProtection algorithmName="SHA-512" hashValue="3hQU3nyMTjKNcECsQENhf7QSWJ08+VzBfxZ+Zeri3riC6OxZIU/frCgJ+ySQ8AEPeK12GzmWkLO83iurMbsAFw==" saltValue="9paTiWYQGh1rPWsYmuiJXw==" spinCount="100000" sheet="1" objects="1" scenarios="1"/>
  <mergeCells count="2">
    <mergeCell ref="B3:E3"/>
    <mergeCell ref="B5:E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6952-5B95-4543-B8C1-2B179833657D}">
  <dimension ref="A5:I27"/>
  <sheetViews>
    <sheetView workbookViewId="0">
      <selection activeCell="H17" sqref="H17"/>
    </sheetView>
  </sheetViews>
  <sheetFormatPr baseColWidth="10" defaultColWidth="11.42578125" defaultRowHeight="15" x14ac:dyDescent="0.25"/>
  <cols>
    <col min="1" max="1" width="48.28515625" bestFit="1" customWidth="1"/>
  </cols>
  <sheetData>
    <row r="5" spans="1:9" x14ac:dyDescent="0.25">
      <c r="F5" t="s">
        <v>72</v>
      </c>
    </row>
    <row r="6" spans="1:9" x14ac:dyDescent="0.25">
      <c r="A6" t="s">
        <v>9</v>
      </c>
      <c r="B6" t="s">
        <v>25</v>
      </c>
      <c r="F6">
        <v>2024</v>
      </c>
      <c r="G6">
        <v>2025</v>
      </c>
      <c r="H6">
        <v>2026</v>
      </c>
      <c r="I6">
        <v>2027</v>
      </c>
    </row>
    <row r="7" spans="1:9" x14ac:dyDescent="0.25">
      <c r="A7" t="s">
        <v>8</v>
      </c>
      <c r="B7" t="s">
        <v>60</v>
      </c>
      <c r="F7" s="5">
        <v>4.1300000000000003E-2</v>
      </c>
      <c r="G7" s="5">
        <v>4.1300000000000003E-2</v>
      </c>
      <c r="H7" s="5">
        <v>4.1300000000000003E-2</v>
      </c>
      <c r="I7" s="5">
        <v>4.1300000000000003E-2</v>
      </c>
    </row>
    <row r="8" spans="1:9" x14ac:dyDescent="0.25">
      <c r="A8" t="s">
        <v>25</v>
      </c>
      <c r="B8" t="s">
        <v>56</v>
      </c>
    </row>
    <row r="9" spans="1:9" x14ac:dyDescent="0.25">
      <c r="A9" t="s">
        <v>18</v>
      </c>
      <c r="B9" t="s">
        <v>59</v>
      </c>
    </row>
    <row r="10" spans="1:9" x14ac:dyDescent="0.25">
      <c r="A10" t="s">
        <v>11</v>
      </c>
      <c r="B10" t="s">
        <v>47</v>
      </c>
    </row>
    <row r="11" spans="1:9" x14ac:dyDescent="0.25">
      <c r="A11" t="s">
        <v>7</v>
      </c>
      <c r="B11" t="s">
        <v>45</v>
      </c>
    </row>
    <row r="12" spans="1:9" x14ac:dyDescent="0.25">
      <c r="A12" t="s">
        <v>23</v>
      </c>
      <c r="B12" t="s">
        <v>50</v>
      </c>
    </row>
    <row r="13" spans="1:9" x14ac:dyDescent="0.25">
      <c r="A13" t="s">
        <v>6</v>
      </c>
      <c r="B13" t="s">
        <v>55</v>
      </c>
    </row>
    <row r="14" spans="1:9" x14ac:dyDescent="0.25">
      <c r="A14" t="s">
        <v>16</v>
      </c>
      <c r="B14" t="s">
        <v>61</v>
      </c>
    </row>
    <row r="15" spans="1:9" x14ac:dyDescent="0.25">
      <c r="A15" t="s">
        <v>14</v>
      </c>
      <c r="B15" t="s">
        <v>64</v>
      </c>
    </row>
    <row r="16" spans="1:9" x14ac:dyDescent="0.25">
      <c r="A16" t="s">
        <v>27</v>
      </c>
      <c r="B16" t="s">
        <v>65</v>
      </c>
    </row>
    <row r="17" spans="1:2" x14ac:dyDescent="0.25">
      <c r="A17" t="s">
        <v>32</v>
      </c>
      <c r="B17" t="s">
        <v>53</v>
      </c>
    </row>
    <row r="18" spans="1:2" x14ac:dyDescent="0.25">
      <c r="A18" t="s">
        <v>33</v>
      </c>
      <c r="B18" t="s">
        <v>52</v>
      </c>
    </row>
    <row r="19" spans="1:2" x14ac:dyDescent="0.25">
      <c r="A19" t="s">
        <v>31</v>
      </c>
      <c r="B19" t="s">
        <v>51</v>
      </c>
    </row>
    <row r="20" spans="1:2" x14ac:dyDescent="0.25">
      <c r="A20" t="s">
        <v>10</v>
      </c>
      <c r="B20" t="s">
        <v>46</v>
      </c>
    </row>
    <row r="21" spans="1:2" x14ac:dyDescent="0.25">
      <c r="A21" t="s">
        <v>17</v>
      </c>
      <c r="B21" t="s">
        <v>54</v>
      </c>
    </row>
    <row r="22" spans="1:2" x14ac:dyDescent="0.25">
      <c r="A22" t="s">
        <v>5</v>
      </c>
      <c r="B22" t="s">
        <v>48</v>
      </c>
    </row>
    <row r="23" spans="1:2" x14ac:dyDescent="0.25">
      <c r="A23" t="s">
        <v>21</v>
      </c>
      <c r="B23" t="s">
        <v>58</v>
      </c>
    </row>
    <row r="24" spans="1:2" x14ac:dyDescent="0.25">
      <c r="A24" t="s">
        <v>24</v>
      </c>
    </row>
    <row r="25" spans="1:2" x14ac:dyDescent="0.25">
      <c r="A25" t="s">
        <v>12</v>
      </c>
    </row>
    <row r="26" spans="1:2" x14ac:dyDescent="0.25">
      <c r="A26" t="s">
        <v>15</v>
      </c>
    </row>
    <row r="27" spans="1:2" x14ac:dyDescent="0.25">
      <c r="A27" t="s">
        <v>22</v>
      </c>
    </row>
  </sheetData>
  <sortState xmlns:xlrd2="http://schemas.microsoft.com/office/spreadsheetml/2017/richdata2" ref="A6:A27">
    <sortCondition ref="A6:A2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DAFB3-03B1-463F-A905-454D80C97360}">
  <dimension ref="A1:S103"/>
  <sheetViews>
    <sheetView topLeftCell="A64" zoomScaleNormal="100" workbookViewId="0">
      <selection activeCell="N78" sqref="N78"/>
    </sheetView>
  </sheetViews>
  <sheetFormatPr baseColWidth="10" defaultRowHeight="15" x14ac:dyDescent="0.25"/>
  <cols>
    <col min="1" max="1" width="68.140625" customWidth="1"/>
    <col min="3" max="3" width="58.85546875" customWidth="1"/>
    <col min="4" max="4" width="13.5703125" customWidth="1"/>
    <col min="6" max="6" width="18.7109375" customWidth="1"/>
    <col min="7" max="7" width="21" customWidth="1"/>
    <col min="8" max="8" width="58.85546875" customWidth="1"/>
    <col min="9" max="9" width="38" customWidth="1"/>
  </cols>
  <sheetData>
    <row r="1" spans="1:19" ht="60" x14ac:dyDescent="0.25">
      <c r="B1" s="50" t="s">
        <v>74</v>
      </c>
      <c r="C1" s="50" t="s">
        <v>75</v>
      </c>
      <c r="D1" s="50" t="s">
        <v>76</v>
      </c>
      <c r="E1" s="50" t="s">
        <v>77</v>
      </c>
      <c r="F1" s="50" t="s">
        <v>78</v>
      </c>
      <c r="G1" s="50" t="s">
        <v>79</v>
      </c>
      <c r="H1" s="51" t="s">
        <v>80</v>
      </c>
      <c r="I1" s="51" t="s">
        <v>169</v>
      </c>
      <c r="J1" s="51" t="s">
        <v>170</v>
      </c>
      <c r="K1" s="51" t="s">
        <v>151</v>
      </c>
      <c r="L1" s="51" t="s">
        <v>152</v>
      </c>
      <c r="M1" s="51" t="s">
        <v>153</v>
      </c>
      <c r="N1" s="51" t="s">
        <v>154</v>
      </c>
      <c r="P1" t="str">
        <f>"Budsjettforslag fra "&amp;FORSIDE!$B$2&amp;" 2024"</f>
        <v>Budsjettforslag fra Skriv inn gruppe 2024</v>
      </c>
      <c r="Q1" t="str">
        <f>"Budsjettforslag fra "&amp;FORSIDE!$B$2&amp;" 2025"</f>
        <v>Budsjettforslag fra Skriv inn gruppe 2025</v>
      </c>
      <c r="R1" t="str">
        <f>"Budsjettforslag fra "&amp;FORSIDE!$B$2&amp;" 2026"</f>
        <v>Budsjettforslag fra Skriv inn gruppe 2026</v>
      </c>
      <c r="S1" t="str">
        <f>"Budsjettforslag fra "&amp;FORSIDE!$B$2&amp;" 2027"</f>
        <v>Budsjettforslag fra Skriv inn gruppe 2027</v>
      </c>
    </row>
    <row r="2" spans="1:19" x14ac:dyDescent="0.25">
      <c r="A2" t="s">
        <v>81</v>
      </c>
      <c r="B2" s="52">
        <f t="shared" ref="B2:F2" si="0">B3+B6+B11+B12</f>
        <v>2131494</v>
      </c>
      <c r="C2" s="52">
        <f t="shared" si="0"/>
        <v>2390305</v>
      </c>
      <c r="D2" s="52">
        <f t="shared" si="0"/>
        <v>2721428</v>
      </c>
      <c r="E2" s="52">
        <f t="shared" si="0"/>
        <v>2961824</v>
      </c>
      <c r="F2" s="52">
        <f t="shared" si="0"/>
        <v>3093385</v>
      </c>
      <c r="G2" s="52">
        <f>G3+G6+G11+G12</f>
        <v>3261474</v>
      </c>
      <c r="H2" s="52">
        <f>H3+H6+H11+H12</f>
        <v>3114591.6672</v>
      </c>
      <c r="I2" s="52">
        <f>I3+I6+I11+I12</f>
        <v>3176007.645</v>
      </c>
      <c r="J2" s="52">
        <f t="shared" ref="J2:N2" si="1">J3+J6+J11+J12</f>
        <v>0</v>
      </c>
      <c r="K2" s="52">
        <f t="shared" si="1"/>
        <v>3114591.6672</v>
      </c>
      <c r="L2" s="52">
        <f t="shared" si="1"/>
        <v>3114591.6672</v>
      </c>
      <c r="M2" s="52">
        <f t="shared" si="1"/>
        <v>3114591.6672</v>
      </c>
      <c r="N2" s="52">
        <f t="shared" si="1"/>
        <v>3114591.6672</v>
      </c>
      <c r="P2" s="59">
        <f>K2</f>
        <v>3114591.6672</v>
      </c>
      <c r="Q2" s="59">
        <f t="shared" ref="Q2:S17" si="2">L2</f>
        <v>3114591.6672</v>
      </c>
      <c r="R2" s="59">
        <f t="shared" si="2"/>
        <v>3114591.6672</v>
      </c>
      <c r="S2" s="59">
        <f t="shared" si="2"/>
        <v>3114591.6672</v>
      </c>
    </row>
    <row r="3" spans="1:19" x14ac:dyDescent="0.25">
      <c r="A3" t="s">
        <v>82</v>
      </c>
      <c r="B3" s="52">
        <f t="shared" ref="B3:F3" si="3">B4+B5</f>
        <v>1271801</v>
      </c>
      <c r="C3" s="52">
        <f t="shared" si="3"/>
        <v>1513638</v>
      </c>
      <c r="D3" s="52">
        <f t="shared" si="3"/>
        <v>1761299</v>
      </c>
      <c r="E3" s="52">
        <f t="shared" si="3"/>
        <v>1890215</v>
      </c>
      <c r="F3" s="52">
        <f t="shared" si="3"/>
        <v>1951350</v>
      </c>
      <c r="G3" s="52">
        <f>G4+G5</f>
        <v>2062550</v>
      </c>
      <c r="H3" s="52">
        <f t="shared" ref="H3:I3" si="4">H4+H5</f>
        <v>1918929.2924000002</v>
      </c>
      <c r="I3" s="52">
        <f t="shared" si="4"/>
        <v>1905185.4719999998</v>
      </c>
      <c r="J3" s="52">
        <f t="shared" ref="J3" si="5">J4+J5</f>
        <v>0</v>
      </c>
      <c r="K3" s="52">
        <f t="shared" ref="K3" si="6">K4+K5</f>
        <v>1918929.2924000002</v>
      </c>
      <c r="L3" s="52">
        <f t="shared" ref="L3" si="7">L4+L5</f>
        <v>1918929.2924000002</v>
      </c>
      <c r="M3" s="52">
        <f t="shared" ref="M3" si="8">M4+M5</f>
        <v>1918929.2924000002</v>
      </c>
      <c r="N3" s="52">
        <f t="shared" ref="N3" si="9">N4+N5</f>
        <v>1918929.2924000002</v>
      </c>
      <c r="P3" s="59">
        <f t="shared" ref="P3:P56" si="10">K3</f>
        <v>1918929.2924000002</v>
      </c>
      <c r="Q3" s="59">
        <f t="shared" si="2"/>
        <v>1918929.2924000002</v>
      </c>
      <c r="R3" s="59">
        <f t="shared" si="2"/>
        <v>1918929.2924000002</v>
      </c>
      <c r="S3" s="59">
        <f t="shared" si="2"/>
        <v>1918929.2924000002</v>
      </c>
    </row>
    <row r="4" spans="1:19" x14ac:dyDescent="0.25">
      <c r="A4" t="s">
        <v>83</v>
      </c>
      <c r="B4" s="53">
        <v>1223594</v>
      </c>
      <c r="C4" s="53">
        <v>1453410</v>
      </c>
      <c r="D4" s="53">
        <v>1686371</v>
      </c>
      <c r="E4" s="53">
        <v>1799686</v>
      </c>
      <c r="F4" s="53">
        <v>1867246</v>
      </c>
      <c r="G4" s="53">
        <v>1973905</v>
      </c>
      <c r="H4" s="54">
        <v>1879318.7036400002</v>
      </c>
      <c r="I4" s="54">
        <v>1874225.2339999999</v>
      </c>
      <c r="J4" s="54"/>
      <c r="K4" s="54">
        <v>1879318.7036400002</v>
      </c>
      <c r="L4" s="54">
        <v>1879318.7036400002</v>
      </c>
      <c r="M4" s="54">
        <v>1879318.7036400002</v>
      </c>
      <c r="N4" s="54">
        <v>1879318.7036400002</v>
      </c>
      <c r="P4" s="59">
        <f t="shared" si="10"/>
        <v>1879318.7036400002</v>
      </c>
      <c r="Q4" s="59">
        <f t="shared" si="2"/>
        <v>1879318.7036400002</v>
      </c>
      <c r="R4" s="59">
        <f t="shared" si="2"/>
        <v>1879318.7036400002</v>
      </c>
      <c r="S4" s="59">
        <f t="shared" si="2"/>
        <v>1879318.7036400002</v>
      </c>
    </row>
    <row r="5" spans="1:19" x14ac:dyDescent="0.25">
      <c r="A5" t="s">
        <v>84</v>
      </c>
      <c r="B5" s="53">
        <v>48207</v>
      </c>
      <c r="C5" s="53">
        <v>60228</v>
      </c>
      <c r="D5" s="53">
        <v>74928</v>
      </c>
      <c r="E5" s="53">
        <v>90529</v>
      </c>
      <c r="F5" s="53">
        <v>84104</v>
      </c>
      <c r="G5" s="53">
        <v>88645</v>
      </c>
      <c r="H5" s="54">
        <v>39610.588759999999</v>
      </c>
      <c r="I5" s="54">
        <v>30960.238000000001</v>
      </c>
      <c r="J5" s="54"/>
      <c r="K5" s="54">
        <v>39610.588759999999</v>
      </c>
      <c r="L5" s="54">
        <v>39610.588759999999</v>
      </c>
      <c r="M5" s="54">
        <v>39610.588759999999</v>
      </c>
      <c r="N5" s="54">
        <v>39610.588759999999</v>
      </c>
      <c r="P5" s="59">
        <f t="shared" si="10"/>
        <v>39610.588759999999</v>
      </c>
      <c r="Q5" s="59">
        <f t="shared" si="2"/>
        <v>39610.588759999999</v>
      </c>
      <c r="R5" s="59">
        <f t="shared" si="2"/>
        <v>39610.588759999999</v>
      </c>
      <c r="S5" s="59">
        <f t="shared" si="2"/>
        <v>39610.588759999999</v>
      </c>
    </row>
    <row r="6" spans="1:19" x14ac:dyDescent="0.25">
      <c r="A6" t="s">
        <v>85</v>
      </c>
      <c r="B6" s="52">
        <f t="shared" ref="B6:N6" si="11">SUM(B7:B10)</f>
        <v>205835</v>
      </c>
      <c r="C6" s="52">
        <f t="shared" si="11"/>
        <v>211059</v>
      </c>
      <c r="D6" s="52">
        <f t="shared" si="11"/>
        <v>235421</v>
      </c>
      <c r="E6" s="52">
        <f t="shared" si="11"/>
        <v>266880</v>
      </c>
      <c r="F6" s="52">
        <f t="shared" si="11"/>
        <v>278766</v>
      </c>
      <c r="G6" s="52">
        <f t="shared" si="11"/>
        <v>270874</v>
      </c>
      <c r="H6" s="52">
        <f t="shared" si="11"/>
        <v>273026.97827999998</v>
      </c>
      <c r="I6" s="52">
        <f t="shared" si="11"/>
        <v>278127.15899999999</v>
      </c>
      <c r="J6" s="52">
        <f t="shared" si="11"/>
        <v>0</v>
      </c>
      <c r="K6" s="52">
        <f t="shared" si="11"/>
        <v>273026.97827999998</v>
      </c>
      <c r="L6" s="52">
        <f t="shared" si="11"/>
        <v>273026.97827999998</v>
      </c>
      <c r="M6" s="52">
        <f t="shared" si="11"/>
        <v>273026.97827999998</v>
      </c>
      <c r="N6" s="52">
        <f t="shared" si="11"/>
        <v>273026.97827999998</v>
      </c>
      <c r="P6" s="59">
        <f t="shared" si="10"/>
        <v>273026.97827999998</v>
      </c>
      <c r="Q6" s="59">
        <f t="shared" si="2"/>
        <v>273026.97827999998</v>
      </c>
      <c r="R6" s="59">
        <f t="shared" si="2"/>
        <v>273026.97827999998</v>
      </c>
      <c r="S6" s="59">
        <f t="shared" si="2"/>
        <v>273026.97827999998</v>
      </c>
    </row>
    <row r="7" spans="1:19" x14ac:dyDescent="0.25">
      <c r="A7" t="s">
        <v>86</v>
      </c>
      <c r="B7" s="53">
        <v>57045</v>
      </c>
      <c r="C7" s="53">
        <v>58666</v>
      </c>
      <c r="D7" s="53">
        <v>60002</v>
      </c>
      <c r="E7" s="53">
        <v>64606</v>
      </c>
      <c r="F7" s="53">
        <v>62832</v>
      </c>
      <c r="G7" s="53">
        <v>64586</v>
      </c>
      <c r="H7" s="54">
        <v>64423.968999999997</v>
      </c>
      <c r="I7" s="54">
        <v>66235.797000000006</v>
      </c>
      <c r="J7" s="54"/>
      <c r="K7" s="54">
        <v>64423.968999999997</v>
      </c>
      <c r="L7" s="54">
        <v>64423.968999999997</v>
      </c>
      <c r="M7" s="54">
        <v>64423.968999999997</v>
      </c>
      <c r="N7" s="54">
        <v>64423.968999999997</v>
      </c>
      <c r="P7" s="59">
        <f t="shared" si="10"/>
        <v>64423.968999999997</v>
      </c>
      <c r="Q7" s="59">
        <f t="shared" si="2"/>
        <v>64423.968999999997</v>
      </c>
      <c r="R7" s="59">
        <f t="shared" si="2"/>
        <v>64423.968999999997</v>
      </c>
      <c r="S7" s="59">
        <f t="shared" si="2"/>
        <v>64423.968999999997</v>
      </c>
    </row>
    <row r="8" spans="1:19" x14ac:dyDescent="0.25">
      <c r="A8" t="s">
        <v>87</v>
      </c>
      <c r="B8" s="53"/>
      <c r="C8" s="53"/>
      <c r="D8" s="53"/>
      <c r="E8" s="53"/>
      <c r="F8" s="53"/>
      <c r="G8" s="53">
        <v>0</v>
      </c>
      <c r="P8" s="59">
        <f t="shared" si="10"/>
        <v>0</v>
      </c>
      <c r="Q8" s="59">
        <f t="shared" si="2"/>
        <v>0</v>
      </c>
      <c r="R8" s="59">
        <f t="shared" si="2"/>
        <v>0</v>
      </c>
      <c r="S8" s="59">
        <f t="shared" si="2"/>
        <v>0</v>
      </c>
    </row>
    <row r="9" spans="1:19" x14ac:dyDescent="0.25">
      <c r="A9" t="s">
        <v>88</v>
      </c>
      <c r="B9" s="53">
        <v>148790</v>
      </c>
      <c r="C9" s="53">
        <v>152385</v>
      </c>
      <c r="D9" s="53">
        <v>168842</v>
      </c>
      <c r="E9" s="53">
        <v>196052</v>
      </c>
      <c r="F9" s="53">
        <v>208638</v>
      </c>
      <c r="G9" s="53">
        <v>206288</v>
      </c>
      <c r="H9" s="54">
        <v>208603.00928</v>
      </c>
      <c r="I9" s="54">
        <v>211891.36199999999</v>
      </c>
      <c r="J9" s="54"/>
      <c r="K9" s="54">
        <v>208603.00928</v>
      </c>
      <c r="L9" s="54">
        <v>208603.00928</v>
      </c>
      <c r="M9" s="54">
        <v>208603.00928</v>
      </c>
      <c r="N9" s="54">
        <v>208603.00928</v>
      </c>
      <c r="P9" s="59">
        <f t="shared" si="10"/>
        <v>208603.00928</v>
      </c>
      <c r="Q9" s="59">
        <f t="shared" si="2"/>
        <v>208603.00928</v>
      </c>
      <c r="R9" s="59">
        <f t="shared" si="2"/>
        <v>208603.00928</v>
      </c>
      <c r="S9" s="59">
        <f t="shared" si="2"/>
        <v>208603.00928</v>
      </c>
    </row>
    <row r="10" spans="1:19" x14ac:dyDescent="0.25">
      <c r="A10" t="s">
        <v>89</v>
      </c>
      <c r="B10" s="53">
        <v>0</v>
      </c>
      <c r="C10" s="53">
        <v>8</v>
      </c>
      <c r="D10" s="53">
        <v>6577</v>
      </c>
      <c r="E10" s="53">
        <v>6222</v>
      </c>
      <c r="F10" s="53">
        <v>7296</v>
      </c>
      <c r="G10" s="53" t="s">
        <v>90</v>
      </c>
      <c r="P10" s="59">
        <f t="shared" si="10"/>
        <v>0</v>
      </c>
      <c r="Q10" s="59">
        <f t="shared" si="2"/>
        <v>0</v>
      </c>
      <c r="R10" s="59">
        <f t="shared" si="2"/>
        <v>0</v>
      </c>
      <c r="S10" s="59">
        <f t="shared" si="2"/>
        <v>0</v>
      </c>
    </row>
    <row r="11" spans="1:19" x14ac:dyDescent="0.25">
      <c r="A11" t="s">
        <v>91</v>
      </c>
      <c r="B11" s="53">
        <v>0</v>
      </c>
      <c r="C11" s="53">
        <v>112</v>
      </c>
      <c r="D11" s="53">
        <v>128</v>
      </c>
      <c r="E11" s="53">
        <v>115</v>
      </c>
      <c r="F11" s="53">
        <v>100</v>
      </c>
      <c r="G11" s="53">
        <v>21</v>
      </c>
      <c r="P11" s="59">
        <f t="shared" si="10"/>
        <v>0</v>
      </c>
      <c r="Q11" s="59">
        <f t="shared" si="2"/>
        <v>0</v>
      </c>
      <c r="R11" s="59">
        <f t="shared" si="2"/>
        <v>0</v>
      </c>
      <c r="S11" s="59">
        <f t="shared" si="2"/>
        <v>0</v>
      </c>
    </row>
    <row r="12" spans="1:19" x14ac:dyDescent="0.25">
      <c r="A12" t="s">
        <v>92</v>
      </c>
      <c r="B12" s="53">
        <v>653858</v>
      </c>
      <c r="C12" s="53">
        <v>665496</v>
      </c>
      <c r="D12" s="53">
        <v>724580</v>
      </c>
      <c r="E12" s="53">
        <v>804614</v>
      </c>
      <c r="F12" s="53">
        <v>863169</v>
      </c>
      <c r="G12" s="53">
        <v>928029</v>
      </c>
      <c r="H12" s="54">
        <v>922635.39651999995</v>
      </c>
      <c r="I12" s="54">
        <v>992695.01399999997</v>
      </c>
      <c r="J12" s="54"/>
      <c r="K12" s="54">
        <v>922635.39651999995</v>
      </c>
      <c r="L12" s="54">
        <v>922635.39651999995</v>
      </c>
      <c r="M12" s="54">
        <v>922635.39651999995</v>
      </c>
      <c r="N12" s="54">
        <v>922635.39651999995</v>
      </c>
      <c r="P12" s="59">
        <f t="shared" si="10"/>
        <v>922635.39651999995</v>
      </c>
      <c r="Q12" s="59">
        <f t="shared" si="2"/>
        <v>922635.39651999995</v>
      </c>
      <c r="R12" s="59">
        <f t="shared" si="2"/>
        <v>922635.39651999995</v>
      </c>
      <c r="S12" s="59">
        <f t="shared" si="2"/>
        <v>922635.39651999995</v>
      </c>
    </row>
    <row r="13" spans="1:19" x14ac:dyDescent="0.25">
      <c r="A13" t="s">
        <v>93</v>
      </c>
      <c r="B13" s="52">
        <f t="shared" ref="B13:F13" si="12">B14+B15+B20+B25</f>
        <v>358445</v>
      </c>
      <c r="C13" s="52">
        <f t="shared" si="12"/>
        <v>423543</v>
      </c>
      <c r="D13" s="52">
        <f t="shared" si="12"/>
        <v>416175</v>
      </c>
      <c r="E13" s="52">
        <f t="shared" si="12"/>
        <v>383323</v>
      </c>
      <c r="F13" s="52">
        <f t="shared" si="12"/>
        <v>384032</v>
      </c>
      <c r="G13" s="52">
        <f>G14+G15+G20+G25</f>
        <v>374793</v>
      </c>
      <c r="H13" s="52">
        <f t="shared" ref="H13:I13" si="13">H14+H15+H20+H25</f>
        <v>327957.89799000003</v>
      </c>
      <c r="I13" s="52">
        <f t="shared" si="13"/>
        <v>366121.821</v>
      </c>
      <c r="J13" s="52">
        <f t="shared" ref="J13" si="14">J14+J15+J20+J25</f>
        <v>0</v>
      </c>
      <c r="K13" s="52">
        <f t="shared" ref="K13" si="15">K14+K15+K20+K25</f>
        <v>260535.25383000003</v>
      </c>
      <c r="L13" s="52">
        <f t="shared" ref="L13" si="16">L14+L15+L20+L25</f>
        <v>260535.25383000003</v>
      </c>
      <c r="M13" s="52">
        <f t="shared" ref="M13" si="17">M14+M15+M20+M25</f>
        <v>260535.25383000003</v>
      </c>
      <c r="N13" s="52">
        <f t="shared" ref="N13" si="18">N14+N15+N20+N25</f>
        <v>260535.25383000003</v>
      </c>
      <c r="P13" s="59">
        <f t="shared" si="10"/>
        <v>260535.25383000003</v>
      </c>
      <c r="Q13" s="59">
        <f t="shared" si="2"/>
        <v>260535.25383000003</v>
      </c>
      <c r="R13" s="59">
        <f t="shared" si="2"/>
        <v>260535.25383000003</v>
      </c>
      <c r="S13" s="59">
        <f t="shared" si="2"/>
        <v>260535.25383000003</v>
      </c>
    </row>
    <row r="14" spans="1:19" x14ac:dyDescent="0.25">
      <c r="A14" t="s">
        <v>94</v>
      </c>
      <c r="B14" s="55">
        <v>257782</v>
      </c>
      <c r="C14" s="55">
        <v>314061</v>
      </c>
      <c r="D14" s="55">
        <v>283994</v>
      </c>
      <c r="E14" s="55">
        <v>292496</v>
      </c>
      <c r="F14" s="55">
        <v>206087</v>
      </c>
      <c r="G14" s="53">
        <v>111978</v>
      </c>
      <c r="H14" s="54">
        <v>67422.644159999996</v>
      </c>
      <c r="I14" s="54">
        <v>125256.93799999999</v>
      </c>
      <c r="J14" s="54"/>
      <c r="K14" s="84"/>
      <c r="L14" s="54"/>
      <c r="M14" s="54"/>
      <c r="N14" s="54"/>
      <c r="P14" s="59">
        <f t="shared" si="10"/>
        <v>0</v>
      </c>
      <c r="Q14" s="59">
        <f t="shared" si="2"/>
        <v>0</v>
      </c>
      <c r="R14" s="59">
        <f t="shared" si="2"/>
        <v>0</v>
      </c>
      <c r="S14" s="59">
        <f t="shared" si="2"/>
        <v>0</v>
      </c>
    </row>
    <row r="15" spans="1:19" x14ac:dyDescent="0.25">
      <c r="A15" t="s">
        <v>95</v>
      </c>
      <c r="B15" s="52">
        <f t="shared" ref="B15:F15" si="19">SUM(B16:B19)</f>
        <v>3642</v>
      </c>
      <c r="C15" s="52">
        <f t="shared" si="19"/>
        <v>37437</v>
      </c>
      <c r="D15" s="52">
        <f t="shared" si="19"/>
        <v>3552</v>
      </c>
      <c r="E15" s="52">
        <f t="shared" si="19"/>
        <v>3610</v>
      </c>
      <c r="F15" s="52">
        <f t="shared" si="19"/>
        <v>57331</v>
      </c>
      <c r="G15" s="52">
        <f>SUM(G16:G19)</f>
        <v>58701</v>
      </c>
      <c r="H15" s="52">
        <f t="shared" ref="H15:I15" si="20">SUM(H16:H19)</f>
        <v>63175.817159999999</v>
      </c>
      <c r="I15" s="52">
        <f t="shared" si="20"/>
        <v>85578.092999999993</v>
      </c>
      <c r="J15" s="52">
        <f t="shared" ref="J15" si="21">SUM(J16:J19)</f>
        <v>0</v>
      </c>
      <c r="K15" s="52">
        <f t="shared" ref="K15" si="22">SUM(K16:K19)</f>
        <v>63175.817159999999</v>
      </c>
      <c r="L15" s="52">
        <f t="shared" ref="L15" si="23">SUM(L16:L19)</f>
        <v>63175.817159999999</v>
      </c>
      <c r="M15" s="52">
        <f t="shared" ref="M15" si="24">SUM(M16:M19)</f>
        <v>63175.817159999999</v>
      </c>
      <c r="N15" s="52">
        <f t="shared" ref="N15" si="25">SUM(N16:N19)</f>
        <v>63175.817159999999</v>
      </c>
      <c r="P15" s="59">
        <f t="shared" si="10"/>
        <v>63175.817159999999</v>
      </c>
      <c r="Q15" s="59">
        <f t="shared" si="2"/>
        <v>63175.817159999999</v>
      </c>
      <c r="R15" s="59">
        <f t="shared" si="2"/>
        <v>63175.817159999999</v>
      </c>
      <c r="S15" s="59">
        <f t="shared" si="2"/>
        <v>63175.817159999999</v>
      </c>
    </row>
    <row r="16" spans="1:19" x14ac:dyDescent="0.25">
      <c r="A16" t="s">
        <v>96</v>
      </c>
      <c r="B16" s="53">
        <v>3642</v>
      </c>
      <c r="C16" s="53">
        <v>37437</v>
      </c>
      <c r="D16" s="53">
        <v>3552</v>
      </c>
      <c r="E16" s="53">
        <v>3610</v>
      </c>
      <c r="F16" s="53">
        <v>57331</v>
      </c>
      <c r="G16" s="53">
        <v>58701</v>
      </c>
      <c r="H16" s="54">
        <v>63175.817159999999</v>
      </c>
      <c r="I16" s="54">
        <v>85578.092999999993</v>
      </c>
      <c r="J16" s="54"/>
      <c r="K16" s="54">
        <v>63175.817159999999</v>
      </c>
      <c r="L16" s="54">
        <v>63175.817159999999</v>
      </c>
      <c r="M16" s="54">
        <v>63175.817159999999</v>
      </c>
      <c r="N16" s="54">
        <v>63175.817159999999</v>
      </c>
      <c r="P16" s="59">
        <f t="shared" si="10"/>
        <v>63175.817159999999</v>
      </c>
      <c r="Q16" s="59">
        <f t="shared" si="2"/>
        <v>63175.817159999999</v>
      </c>
      <c r="R16" s="59">
        <f t="shared" si="2"/>
        <v>63175.817159999999</v>
      </c>
      <c r="S16" s="59">
        <f t="shared" si="2"/>
        <v>63175.817159999999</v>
      </c>
    </row>
    <row r="17" spans="1:19" x14ac:dyDescent="0.25">
      <c r="A17" t="s">
        <v>97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P17" s="59">
        <f t="shared" si="10"/>
        <v>0</v>
      </c>
      <c r="Q17" s="59">
        <f t="shared" si="2"/>
        <v>0</v>
      </c>
      <c r="R17" s="59">
        <f t="shared" si="2"/>
        <v>0</v>
      </c>
      <c r="S17" s="59">
        <f t="shared" si="2"/>
        <v>0</v>
      </c>
    </row>
    <row r="18" spans="1:19" x14ac:dyDescent="0.25">
      <c r="A18" t="s">
        <v>98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P18" s="59">
        <f t="shared" si="10"/>
        <v>0</v>
      </c>
      <c r="Q18" s="59">
        <f t="shared" ref="Q18:Q57" si="26">L18</f>
        <v>0</v>
      </c>
      <c r="R18" s="59">
        <f t="shared" ref="R18:R57" si="27">M18</f>
        <v>0</v>
      </c>
      <c r="S18" s="59">
        <f t="shared" ref="S18:S57" si="28">N18</f>
        <v>0</v>
      </c>
    </row>
    <row r="19" spans="1:19" x14ac:dyDescent="0.25">
      <c r="A19" t="s">
        <v>99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P19" s="59">
        <f t="shared" si="10"/>
        <v>0</v>
      </c>
      <c r="Q19" s="59">
        <f t="shared" si="26"/>
        <v>0</v>
      </c>
      <c r="R19" s="59">
        <f t="shared" si="27"/>
        <v>0</v>
      </c>
      <c r="S19" s="59">
        <f t="shared" si="28"/>
        <v>0</v>
      </c>
    </row>
    <row r="20" spans="1:19" x14ac:dyDescent="0.25">
      <c r="A20" t="s">
        <v>100</v>
      </c>
      <c r="B20" s="52">
        <f t="shared" ref="B20:N20" si="29">SUM(B21:B24)</f>
        <v>97020</v>
      </c>
      <c r="C20" s="52">
        <f t="shared" si="29"/>
        <v>72044</v>
      </c>
      <c r="D20" s="52">
        <f t="shared" si="29"/>
        <v>128629</v>
      </c>
      <c r="E20" s="52">
        <f t="shared" si="29"/>
        <v>87207</v>
      </c>
      <c r="F20" s="52">
        <f t="shared" si="29"/>
        <v>120611</v>
      </c>
      <c r="G20" s="52">
        <f t="shared" si="29"/>
        <v>204111</v>
      </c>
      <c r="H20" s="52">
        <f t="shared" si="29"/>
        <v>197359.43667000002</v>
      </c>
      <c r="I20" s="52">
        <f t="shared" si="29"/>
        <v>155286.79</v>
      </c>
      <c r="J20" s="52">
        <f t="shared" si="29"/>
        <v>0</v>
      </c>
      <c r="K20" s="52">
        <f t="shared" si="29"/>
        <v>197359.43667000002</v>
      </c>
      <c r="L20" s="52">
        <f t="shared" si="29"/>
        <v>197359.43667000002</v>
      </c>
      <c r="M20" s="52">
        <f t="shared" si="29"/>
        <v>197359.43667000002</v>
      </c>
      <c r="N20" s="52">
        <f t="shared" si="29"/>
        <v>197359.43667000002</v>
      </c>
      <c r="P20" s="59">
        <f t="shared" si="10"/>
        <v>197359.43667000002</v>
      </c>
      <c r="Q20" s="59">
        <f t="shared" si="26"/>
        <v>197359.43667000002</v>
      </c>
      <c r="R20" s="59">
        <f t="shared" si="27"/>
        <v>197359.43667000002</v>
      </c>
      <c r="S20" s="59">
        <f t="shared" si="28"/>
        <v>197359.43667000002</v>
      </c>
    </row>
    <row r="21" spans="1:19" x14ac:dyDescent="0.25">
      <c r="A21" t="s">
        <v>101</v>
      </c>
      <c r="B21" s="53">
        <v>81359</v>
      </c>
      <c r="C21" s="53">
        <v>55336</v>
      </c>
      <c r="D21" s="53">
        <v>110153</v>
      </c>
      <c r="E21" s="53">
        <v>61823</v>
      </c>
      <c r="F21" s="53">
        <v>82324</v>
      </c>
      <c r="G21" s="53">
        <v>145229</v>
      </c>
      <c r="H21" s="54">
        <v>119270.61447</v>
      </c>
      <c r="I21" s="54">
        <v>83862.619000000006</v>
      </c>
      <c r="J21" s="54"/>
      <c r="K21" s="54">
        <v>119270.61447</v>
      </c>
      <c r="L21" s="54">
        <v>119270.61447</v>
      </c>
      <c r="M21" s="54">
        <v>119270.61447</v>
      </c>
      <c r="N21" s="54">
        <v>119270.61447</v>
      </c>
      <c r="P21" s="59">
        <f t="shared" si="10"/>
        <v>119270.61447</v>
      </c>
      <c r="Q21" s="59">
        <f t="shared" si="26"/>
        <v>119270.61447</v>
      </c>
      <c r="R21" s="59">
        <f t="shared" si="27"/>
        <v>119270.61447</v>
      </c>
      <c r="S21" s="59">
        <f t="shared" si="28"/>
        <v>119270.61447</v>
      </c>
    </row>
    <row r="22" spans="1:19" x14ac:dyDescent="0.25">
      <c r="A22" t="s">
        <v>102</v>
      </c>
      <c r="B22" s="53" t="s">
        <v>90</v>
      </c>
      <c r="C22" s="53" t="s">
        <v>90</v>
      </c>
      <c r="D22" s="53" t="s">
        <v>90</v>
      </c>
      <c r="E22" s="53" t="s">
        <v>90</v>
      </c>
      <c r="F22" s="53" t="s">
        <v>90</v>
      </c>
      <c r="G22" s="53">
        <v>19146</v>
      </c>
      <c r="H22" s="54">
        <v>17862.571929999998</v>
      </c>
      <c r="I22" s="54"/>
      <c r="J22" s="54"/>
      <c r="K22" s="54">
        <v>17862.571929999998</v>
      </c>
      <c r="L22" s="54">
        <v>17862.571929999998</v>
      </c>
      <c r="M22" s="54">
        <v>17862.571929999998</v>
      </c>
      <c r="N22" s="54">
        <v>17862.571929999998</v>
      </c>
      <c r="P22" s="59">
        <f t="shared" si="10"/>
        <v>17862.571929999998</v>
      </c>
      <c r="Q22" s="59">
        <f t="shared" si="26"/>
        <v>17862.571929999998</v>
      </c>
      <c r="R22" s="59">
        <f t="shared" si="27"/>
        <v>17862.571929999998</v>
      </c>
      <c r="S22" s="59">
        <f t="shared" si="28"/>
        <v>17862.571929999998</v>
      </c>
    </row>
    <row r="23" spans="1:19" x14ac:dyDescent="0.25">
      <c r="A23" t="s">
        <v>103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 t="s">
        <v>90</v>
      </c>
      <c r="P23" s="59">
        <f t="shared" si="10"/>
        <v>0</v>
      </c>
      <c r="Q23" s="59">
        <f t="shared" si="26"/>
        <v>0</v>
      </c>
      <c r="R23" s="59">
        <f t="shared" si="27"/>
        <v>0</v>
      </c>
      <c r="S23" s="59">
        <f t="shared" si="28"/>
        <v>0</v>
      </c>
    </row>
    <row r="24" spans="1:19" x14ac:dyDescent="0.25">
      <c r="A24" t="s">
        <v>104</v>
      </c>
      <c r="B24" s="53">
        <v>15661</v>
      </c>
      <c r="C24" s="53">
        <v>16708</v>
      </c>
      <c r="D24" s="53">
        <v>18476</v>
      </c>
      <c r="E24" s="53">
        <v>25384</v>
      </c>
      <c r="F24" s="53">
        <v>38287</v>
      </c>
      <c r="G24" s="53">
        <v>39736</v>
      </c>
      <c r="H24" s="54">
        <v>60226.250270000004</v>
      </c>
      <c r="I24" s="54">
        <v>71424.171000000002</v>
      </c>
      <c r="J24" s="54"/>
      <c r="K24" s="54">
        <v>60226.250270000004</v>
      </c>
      <c r="L24" s="54">
        <v>60226.250270000004</v>
      </c>
      <c r="M24" s="54">
        <v>60226.250270000004</v>
      </c>
      <c r="N24" s="54">
        <v>60226.250270000004</v>
      </c>
      <c r="P24" s="59">
        <f t="shared" si="10"/>
        <v>60226.250270000004</v>
      </c>
      <c r="Q24" s="59">
        <f t="shared" si="26"/>
        <v>60226.250270000004</v>
      </c>
      <c r="R24" s="59">
        <f t="shared" si="27"/>
        <v>60226.250270000004</v>
      </c>
      <c r="S24" s="59">
        <f t="shared" si="28"/>
        <v>60226.250270000004</v>
      </c>
    </row>
    <row r="25" spans="1:19" x14ac:dyDescent="0.25">
      <c r="A25" t="s">
        <v>105</v>
      </c>
      <c r="B25" s="53">
        <v>1</v>
      </c>
      <c r="C25" s="53">
        <v>1</v>
      </c>
      <c r="D25" s="53">
        <v>0</v>
      </c>
      <c r="E25" s="53">
        <v>10</v>
      </c>
      <c r="F25" s="53">
        <v>3</v>
      </c>
      <c r="G25" s="53">
        <v>3</v>
      </c>
      <c r="P25" s="59">
        <f t="shared" si="10"/>
        <v>0</v>
      </c>
      <c r="Q25" s="59">
        <f t="shared" si="26"/>
        <v>0</v>
      </c>
      <c r="R25" s="59">
        <f t="shared" si="27"/>
        <v>0</v>
      </c>
      <c r="S25" s="59">
        <f t="shared" si="28"/>
        <v>0</v>
      </c>
    </row>
    <row r="26" spans="1:19" x14ac:dyDescent="0.25">
      <c r="A26" t="s">
        <v>106</v>
      </c>
      <c r="B26" s="52">
        <f t="shared" ref="B26:F26" si="30">B13+B2</f>
        <v>2489939</v>
      </c>
      <c r="C26" s="52">
        <f t="shared" si="30"/>
        <v>2813848</v>
      </c>
      <c r="D26" s="52">
        <f t="shared" si="30"/>
        <v>3137603</v>
      </c>
      <c r="E26" s="52">
        <f t="shared" si="30"/>
        <v>3345147</v>
      </c>
      <c r="F26" s="52">
        <f t="shared" si="30"/>
        <v>3477417</v>
      </c>
      <c r="G26" s="52">
        <f>G13+G2</f>
        <v>3636267</v>
      </c>
      <c r="H26" s="52">
        <f t="shared" ref="H26:N26" si="31">H13+H2</f>
        <v>3442549.56519</v>
      </c>
      <c r="I26" s="52">
        <f t="shared" si="31"/>
        <v>3542129.466</v>
      </c>
      <c r="J26" s="52">
        <f t="shared" si="31"/>
        <v>0</v>
      </c>
      <c r="K26" s="52">
        <f t="shared" si="31"/>
        <v>3375126.9210299999</v>
      </c>
      <c r="L26" s="52">
        <f t="shared" si="31"/>
        <v>3375126.9210299999</v>
      </c>
      <c r="M26" s="52">
        <f t="shared" si="31"/>
        <v>3375126.9210299999</v>
      </c>
      <c r="N26" s="52">
        <f t="shared" si="31"/>
        <v>3375126.9210299999</v>
      </c>
      <c r="P26" s="59">
        <f t="shared" si="10"/>
        <v>3375126.9210299999</v>
      </c>
      <c r="Q26" s="59">
        <f t="shared" si="26"/>
        <v>3375126.9210299999</v>
      </c>
      <c r="R26" s="59">
        <f t="shared" si="27"/>
        <v>3375126.9210299999</v>
      </c>
      <c r="S26" s="59">
        <f t="shared" si="28"/>
        <v>3375126.9210299999</v>
      </c>
    </row>
    <row r="27" spans="1:19" x14ac:dyDescent="0.25">
      <c r="A27" t="s">
        <v>107</v>
      </c>
      <c r="B27" s="52">
        <f>B28+B32+B36</f>
        <v>-607526</v>
      </c>
      <c r="C27" s="52">
        <f t="shared" ref="C27:F27" si="32">C28+C32+C36</f>
        <v>-648676</v>
      </c>
      <c r="D27" s="52">
        <f t="shared" si="32"/>
        <v>-711945</v>
      </c>
      <c r="E27" s="52">
        <f t="shared" si="32"/>
        <v>-830298</v>
      </c>
      <c r="F27" s="52">
        <f t="shared" si="32"/>
        <v>-835872</v>
      </c>
      <c r="G27" s="52">
        <f>G28+G32+G36</f>
        <v>-1054749</v>
      </c>
      <c r="H27" s="52">
        <f t="shared" ref="H27:I27" si="33">H28+H32+H36</f>
        <v>-1072734.5464699999</v>
      </c>
      <c r="I27" s="52">
        <f t="shared" si="33"/>
        <v>-1054967.683</v>
      </c>
      <c r="J27" s="52">
        <f t="shared" ref="J27" si="34">J28+J32+J36</f>
        <v>-52152</v>
      </c>
      <c r="K27" s="52">
        <f t="shared" ref="K27" si="35">K28+K32+K36</f>
        <v>-1095960.9456500001</v>
      </c>
      <c r="L27" s="52">
        <f t="shared" ref="L27" si="36">L28+L32+L36</f>
        <v>-1113960.9456500001</v>
      </c>
      <c r="M27" s="52">
        <f t="shared" ref="M27" si="37">M28+M32+M36</f>
        <v>-1131960.9456500001</v>
      </c>
      <c r="N27" s="52">
        <f t="shared" ref="N27" si="38">N28+N32+N36</f>
        <v>-1149960.9456500001</v>
      </c>
      <c r="P27" s="59">
        <f t="shared" si="10"/>
        <v>-1095960.9456500001</v>
      </c>
      <c r="Q27" s="59">
        <f t="shared" si="26"/>
        <v>-1113960.9456500001</v>
      </c>
      <c r="R27" s="59">
        <f t="shared" si="27"/>
        <v>-1131960.9456500001</v>
      </c>
      <c r="S27" s="59">
        <f t="shared" si="28"/>
        <v>-1149960.9456500001</v>
      </c>
    </row>
    <row r="28" spans="1:19" x14ac:dyDescent="0.25">
      <c r="A28" t="s">
        <v>108</v>
      </c>
      <c r="B28" s="52">
        <f t="shared" ref="B28:N28" si="39">SUM(B29:B31)</f>
        <v>-63098</v>
      </c>
      <c r="C28" s="52">
        <f t="shared" si="39"/>
        <v>-91275</v>
      </c>
      <c r="D28" s="52">
        <f t="shared" si="39"/>
        <v>-93683</v>
      </c>
      <c r="E28" s="52">
        <f t="shared" si="39"/>
        <v>-89157</v>
      </c>
      <c r="F28" s="52">
        <f t="shared" si="39"/>
        <v>-83905</v>
      </c>
      <c r="G28" s="52">
        <f t="shared" si="39"/>
        <v>-81928</v>
      </c>
      <c r="H28" s="52">
        <f t="shared" si="39"/>
        <v>-80668.066030000002</v>
      </c>
      <c r="I28" s="52">
        <f t="shared" si="39"/>
        <v>-89145.77900000001</v>
      </c>
      <c r="J28" s="52">
        <f t="shared" si="39"/>
        <v>-52152</v>
      </c>
      <c r="K28" s="52">
        <f t="shared" si="39"/>
        <v>-103894.46520999999</v>
      </c>
      <c r="L28" s="52">
        <f t="shared" si="39"/>
        <v>-121894.46520999999</v>
      </c>
      <c r="M28" s="52">
        <f t="shared" si="39"/>
        <v>-139894.46520999999</v>
      </c>
      <c r="N28" s="52">
        <f t="shared" si="39"/>
        <v>-157894.46520999999</v>
      </c>
      <c r="P28" s="59">
        <f t="shared" si="10"/>
        <v>-103894.46520999999</v>
      </c>
      <c r="Q28" s="59">
        <f t="shared" si="26"/>
        <v>-121894.46520999999</v>
      </c>
      <c r="R28" s="59">
        <f t="shared" si="27"/>
        <v>-139894.46520999999</v>
      </c>
      <c r="S28" s="59">
        <f t="shared" si="28"/>
        <v>-157894.46520999999</v>
      </c>
    </row>
    <row r="29" spans="1:19" x14ac:dyDescent="0.25">
      <c r="A29" t="s">
        <v>109</v>
      </c>
      <c r="B29" s="53">
        <v>-25735</v>
      </c>
      <c r="C29" s="53">
        <v>-52469</v>
      </c>
      <c r="D29" s="53">
        <v>-70281</v>
      </c>
      <c r="E29" s="53">
        <v>-68493</v>
      </c>
      <c r="F29" s="53">
        <v>-71190</v>
      </c>
      <c r="G29" s="53">
        <v>-61871</v>
      </c>
      <c r="H29" s="54">
        <v>-62388.60082</v>
      </c>
      <c r="I29" s="56">
        <v>-75069.69</v>
      </c>
      <c r="J29" s="56">
        <v>-52152</v>
      </c>
      <c r="K29" s="95">
        <v>-85615</v>
      </c>
      <c r="L29" s="95">
        <v>-103615</v>
      </c>
      <c r="M29" s="95">
        <v>-121615</v>
      </c>
      <c r="N29" s="95">
        <v>-139615</v>
      </c>
      <c r="P29" s="62">
        <f>K29-'NYE DRIFTSTILTAK'!F35</f>
        <v>-85615</v>
      </c>
      <c r="Q29" s="62">
        <f>L29-'NYE DRIFTSTILTAK'!G35-'NYE DRIFTSTILTAK'!F35</f>
        <v>-103615</v>
      </c>
      <c r="R29" s="62">
        <f>M29-'NYE DRIFTSTILTAK'!H35-'NYE DRIFTSTILTAK'!G35-'NYE DRIFTSTILTAK'!F35</f>
        <v>-121615</v>
      </c>
      <c r="S29" s="62">
        <f>N29-'NYE DRIFTSTILTAK'!I35-'NYE DRIFTSTILTAK'!H35-'NYE DRIFTSTILTAK'!G35-'NYE DRIFTSTILTAK'!F35</f>
        <v>-139615</v>
      </c>
    </row>
    <row r="30" spans="1:19" x14ac:dyDescent="0.25">
      <c r="A30" t="s">
        <v>110</v>
      </c>
      <c r="B30" s="53">
        <v>-17198</v>
      </c>
      <c r="C30" s="53">
        <v>-20440</v>
      </c>
      <c r="D30" s="53">
        <v>-19312</v>
      </c>
      <c r="E30" s="53">
        <v>-19579</v>
      </c>
      <c r="F30" s="53">
        <v>-13997</v>
      </c>
      <c r="G30" s="53">
        <v>-20057</v>
      </c>
      <c r="H30" s="54">
        <v>-18279.465210000002</v>
      </c>
      <c r="I30" s="54">
        <v>-14076.089</v>
      </c>
      <c r="J30" s="54"/>
      <c r="K30" s="54">
        <v>-18279.465210000002</v>
      </c>
      <c r="L30" s="54">
        <v>-18279.465210000002</v>
      </c>
      <c r="M30" s="54">
        <v>-18279.465210000002</v>
      </c>
      <c r="N30" s="54">
        <v>-18279.465210000002</v>
      </c>
      <c r="P30" s="59">
        <f t="shared" si="10"/>
        <v>-18279.465210000002</v>
      </c>
      <c r="Q30" s="59">
        <f t="shared" si="26"/>
        <v>-18279.465210000002</v>
      </c>
      <c r="R30" s="59">
        <f t="shared" si="27"/>
        <v>-18279.465210000002</v>
      </c>
      <c r="S30" s="59">
        <f t="shared" si="28"/>
        <v>-18279.465210000002</v>
      </c>
    </row>
    <row r="31" spans="1:19" x14ac:dyDescent="0.25">
      <c r="A31" t="s">
        <v>111</v>
      </c>
      <c r="B31" s="53">
        <v>-20165</v>
      </c>
      <c r="C31" s="53">
        <v>-18366</v>
      </c>
      <c r="D31" s="53">
        <v>-4090</v>
      </c>
      <c r="E31" s="53">
        <v>-1085</v>
      </c>
      <c r="F31" s="53">
        <v>1282</v>
      </c>
      <c r="G31" s="53">
        <v>0</v>
      </c>
      <c r="H31" s="54">
        <v>0</v>
      </c>
      <c r="I31" s="54">
        <v>0</v>
      </c>
      <c r="J31" s="54"/>
      <c r="K31" s="54">
        <v>0</v>
      </c>
      <c r="L31" s="54">
        <v>0</v>
      </c>
      <c r="M31" s="54">
        <v>0</v>
      </c>
      <c r="N31" s="54">
        <v>0</v>
      </c>
      <c r="P31" s="59">
        <f t="shared" si="10"/>
        <v>0</v>
      </c>
      <c r="Q31" s="59">
        <f t="shared" si="26"/>
        <v>0</v>
      </c>
      <c r="R31" s="59">
        <f t="shared" si="27"/>
        <v>0</v>
      </c>
      <c r="S31" s="59">
        <f t="shared" si="28"/>
        <v>0</v>
      </c>
    </row>
    <row r="32" spans="1:19" x14ac:dyDescent="0.25">
      <c r="A32" t="s">
        <v>112</v>
      </c>
      <c r="B32" s="52">
        <f t="shared" ref="B32:N32" si="40">SUM(B33:B35)</f>
        <v>-47344</v>
      </c>
      <c r="C32" s="52">
        <f t="shared" si="40"/>
        <v>-56333</v>
      </c>
      <c r="D32" s="52">
        <f t="shared" si="40"/>
        <v>-39615</v>
      </c>
      <c r="E32" s="52">
        <f t="shared" si="40"/>
        <v>-43238</v>
      </c>
      <c r="F32" s="52">
        <f t="shared" si="40"/>
        <v>-36084</v>
      </c>
      <c r="G32" s="52">
        <f t="shared" si="40"/>
        <v>-49634</v>
      </c>
      <c r="H32" s="52">
        <f t="shared" si="40"/>
        <v>-37825.114580000001</v>
      </c>
      <c r="I32" s="52">
        <f t="shared" si="40"/>
        <v>-57012.955000000002</v>
      </c>
      <c r="J32" s="52">
        <f t="shared" si="40"/>
        <v>0</v>
      </c>
      <c r="K32" s="52">
        <f t="shared" si="40"/>
        <v>-37825.114580000001</v>
      </c>
      <c r="L32" s="52">
        <f t="shared" si="40"/>
        <v>-37825.114580000001</v>
      </c>
      <c r="M32" s="52">
        <f t="shared" si="40"/>
        <v>-37825.114580000001</v>
      </c>
      <c r="N32" s="52">
        <f t="shared" si="40"/>
        <v>-37825.114580000001</v>
      </c>
      <c r="P32" s="59">
        <f t="shared" si="10"/>
        <v>-37825.114580000001</v>
      </c>
      <c r="Q32" s="59">
        <f t="shared" si="26"/>
        <v>-37825.114580000001</v>
      </c>
      <c r="R32" s="59">
        <f t="shared" si="27"/>
        <v>-37825.114580000001</v>
      </c>
      <c r="S32" s="59">
        <f t="shared" si="28"/>
        <v>-37825.114580000001</v>
      </c>
    </row>
    <row r="33" spans="1:19" x14ac:dyDescent="0.25">
      <c r="A33" t="s">
        <v>113</v>
      </c>
      <c r="B33" s="53">
        <v>-41320</v>
      </c>
      <c r="C33" s="53">
        <v>-39933</v>
      </c>
      <c r="D33" s="53">
        <v>-30420</v>
      </c>
      <c r="E33" s="53">
        <v>-28076</v>
      </c>
      <c r="F33" s="53">
        <v>-27097</v>
      </c>
      <c r="G33" s="53">
        <v>-25537</v>
      </c>
      <c r="H33" s="54">
        <v>-22799.74194</v>
      </c>
      <c r="I33" s="54">
        <v>-22799.741999999998</v>
      </c>
      <c r="J33" s="54"/>
      <c r="K33" s="54">
        <v>-22799.74194</v>
      </c>
      <c r="L33" s="54">
        <v>-22799.74194</v>
      </c>
      <c r="M33" s="54">
        <v>-22799.74194</v>
      </c>
      <c r="N33" s="54">
        <v>-22799.74194</v>
      </c>
      <c r="P33" s="59">
        <f t="shared" si="10"/>
        <v>-22799.74194</v>
      </c>
      <c r="Q33" s="59">
        <f t="shared" si="26"/>
        <v>-22799.74194</v>
      </c>
      <c r="R33" s="59">
        <f t="shared" si="27"/>
        <v>-22799.74194</v>
      </c>
      <c r="S33" s="59">
        <f t="shared" si="28"/>
        <v>-22799.74194</v>
      </c>
    </row>
    <row r="34" spans="1:19" x14ac:dyDescent="0.25">
      <c r="A34" t="s">
        <v>114</v>
      </c>
      <c r="B34" s="53">
        <v>-6024</v>
      </c>
      <c r="C34" s="53">
        <v>-16400</v>
      </c>
      <c r="D34" s="53">
        <v>-9195</v>
      </c>
      <c r="E34" s="53">
        <v>-15162</v>
      </c>
      <c r="F34" s="53">
        <v>-8987</v>
      </c>
      <c r="G34" s="53">
        <v>-24097</v>
      </c>
      <c r="H34" s="54">
        <v>-15025.372640000001</v>
      </c>
      <c r="I34" s="54">
        <v>-34213.213000000003</v>
      </c>
      <c r="J34" s="54"/>
      <c r="K34" s="54">
        <v>-15025.372640000001</v>
      </c>
      <c r="L34" s="54">
        <v>-15025.372640000001</v>
      </c>
      <c r="M34" s="54">
        <v>-15025.372640000001</v>
      </c>
      <c r="N34" s="54">
        <v>-15025.372640000001</v>
      </c>
      <c r="P34" s="59">
        <f t="shared" si="10"/>
        <v>-15025.372640000001</v>
      </c>
      <c r="Q34" s="59">
        <f t="shared" si="26"/>
        <v>-15025.372640000001</v>
      </c>
      <c r="R34" s="59">
        <f t="shared" si="27"/>
        <v>-15025.372640000001</v>
      </c>
      <c r="S34" s="59">
        <f t="shared" si="28"/>
        <v>-15025.372640000001</v>
      </c>
    </row>
    <row r="35" spans="1:19" x14ac:dyDescent="0.25">
      <c r="A35" t="s">
        <v>115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4">
        <v>0</v>
      </c>
      <c r="I35" s="54">
        <v>0</v>
      </c>
      <c r="J35" s="54"/>
      <c r="K35" s="54">
        <v>0</v>
      </c>
      <c r="L35" s="54">
        <v>0</v>
      </c>
      <c r="M35" s="54">
        <v>0</v>
      </c>
      <c r="N35" s="54">
        <v>0</v>
      </c>
      <c r="P35" s="59">
        <f t="shared" si="10"/>
        <v>0</v>
      </c>
      <c r="Q35" s="59">
        <f t="shared" si="26"/>
        <v>0</v>
      </c>
      <c r="R35" s="59">
        <f t="shared" si="27"/>
        <v>0</v>
      </c>
      <c r="S35" s="59">
        <f t="shared" si="28"/>
        <v>0</v>
      </c>
    </row>
    <row r="36" spans="1:19" x14ac:dyDescent="0.25">
      <c r="A36" t="s">
        <v>116</v>
      </c>
      <c r="B36" s="52">
        <f t="shared" ref="B36:F36" si="41">SUM(B37:B39)</f>
        <v>-497084</v>
      </c>
      <c r="C36" s="52">
        <f t="shared" si="41"/>
        <v>-501068</v>
      </c>
      <c r="D36" s="52">
        <f t="shared" si="41"/>
        <v>-578647</v>
      </c>
      <c r="E36" s="52">
        <f t="shared" si="41"/>
        <v>-697903</v>
      </c>
      <c r="F36" s="52">
        <f t="shared" si="41"/>
        <v>-715883</v>
      </c>
      <c r="G36" s="52">
        <f>SUM(G37:G39)</f>
        <v>-923187</v>
      </c>
      <c r="H36" s="52">
        <f t="shared" ref="H36:I36" si="42">SUM(H37:H39)</f>
        <v>-954241.36586000002</v>
      </c>
      <c r="I36" s="52">
        <f t="shared" si="42"/>
        <v>-908808.94899999991</v>
      </c>
      <c r="J36" s="52">
        <f t="shared" ref="J36" si="43">SUM(J37:J39)</f>
        <v>0</v>
      </c>
      <c r="K36" s="52">
        <f t="shared" ref="K36" si="44">SUM(K37:K39)</f>
        <v>-954241.36586000002</v>
      </c>
      <c r="L36" s="52">
        <f t="shared" ref="L36" si="45">SUM(L37:L39)</f>
        <v>-954241.36586000002</v>
      </c>
      <c r="M36" s="52">
        <f t="shared" ref="M36" si="46">SUM(M37:M39)</f>
        <v>-954241.36586000002</v>
      </c>
      <c r="N36" s="52">
        <f t="shared" ref="N36" si="47">SUM(N37:N39)</f>
        <v>-954241.36586000002</v>
      </c>
      <c r="P36" s="59">
        <f t="shared" si="10"/>
        <v>-954241.36586000002</v>
      </c>
      <c r="Q36" s="59">
        <f t="shared" si="26"/>
        <v>-954241.36586000002</v>
      </c>
      <c r="R36" s="59">
        <f t="shared" si="27"/>
        <v>-954241.36586000002</v>
      </c>
      <c r="S36" s="59">
        <f t="shared" si="28"/>
        <v>-954241.36586000002</v>
      </c>
    </row>
    <row r="37" spans="1:19" x14ac:dyDescent="0.25">
      <c r="A37" t="s">
        <v>117</v>
      </c>
      <c r="B37" s="53">
        <v>-485333</v>
      </c>
      <c r="C37" s="53">
        <v>-489317</v>
      </c>
      <c r="D37" s="53">
        <v>-566896</v>
      </c>
      <c r="E37" s="53">
        <v>-686152</v>
      </c>
      <c r="F37" s="53">
        <v>-704132</v>
      </c>
      <c r="G37" s="53">
        <v>-911436</v>
      </c>
      <c r="H37" s="54">
        <v>-942490.28586000006</v>
      </c>
      <c r="I37" s="54">
        <v>-897057.86899999995</v>
      </c>
      <c r="J37" s="54"/>
      <c r="K37" s="54">
        <v>-942490.28586000006</v>
      </c>
      <c r="L37" s="54">
        <v>-942490.28586000006</v>
      </c>
      <c r="M37" s="54">
        <v>-942490.28586000006</v>
      </c>
      <c r="N37" s="54">
        <v>-942490.28586000006</v>
      </c>
      <c r="P37" s="59">
        <f t="shared" si="10"/>
        <v>-942490.28586000006</v>
      </c>
      <c r="Q37" s="59">
        <f t="shared" si="26"/>
        <v>-942490.28586000006</v>
      </c>
      <c r="R37" s="59">
        <f t="shared" si="27"/>
        <v>-942490.28586000006</v>
      </c>
      <c r="S37" s="59">
        <f t="shared" si="28"/>
        <v>-942490.28586000006</v>
      </c>
    </row>
    <row r="38" spans="1:19" x14ac:dyDescent="0.25">
      <c r="A38" t="s">
        <v>118</v>
      </c>
      <c r="B38" s="53">
        <v>-11751</v>
      </c>
      <c r="C38" s="53">
        <v>-11751</v>
      </c>
      <c r="D38" s="53">
        <v>-11751</v>
      </c>
      <c r="E38" s="53">
        <v>-11751</v>
      </c>
      <c r="F38" s="53">
        <v>-11751</v>
      </c>
      <c r="G38" s="53">
        <v>-11751</v>
      </c>
      <c r="H38" s="54">
        <v>-11751.08</v>
      </c>
      <c r="I38" s="54">
        <v>-11751.08</v>
      </c>
      <c r="J38" s="54"/>
      <c r="K38" s="54">
        <v>-11751.08</v>
      </c>
      <c r="L38" s="54">
        <v>-11751.08</v>
      </c>
      <c r="M38" s="54">
        <v>-11751.08</v>
      </c>
      <c r="N38" s="54">
        <v>-11751.08</v>
      </c>
      <c r="P38" s="59">
        <f t="shared" si="10"/>
        <v>-11751.08</v>
      </c>
      <c r="Q38" s="59">
        <f t="shared" si="26"/>
        <v>-11751.08</v>
      </c>
      <c r="R38" s="59">
        <f t="shared" si="27"/>
        <v>-11751.08</v>
      </c>
      <c r="S38" s="59">
        <f t="shared" si="28"/>
        <v>-11751.08</v>
      </c>
    </row>
    <row r="39" spans="1:19" x14ac:dyDescent="0.25">
      <c r="A39" t="s">
        <v>119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P39" s="59">
        <f t="shared" si="10"/>
        <v>0</v>
      </c>
      <c r="Q39" s="59">
        <f t="shared" si="26"/>
        <v>0</v>
      </c>
      <c r="R39" s="59">
        <f t="shared" si="27"/>
        <v>0</v>
      </c>
      <c r="S39" s="59">
        <f t="shared" si="28"/>
        <v>0</v>
      </c>
    </row>
    <row r="40" spans="1:19" x14ac:dyDescent="0.25">
      <c r="A40" t="s">
        <v>120</v>
      </c>
      <c r="B40" s="52">
        <f t="shared" ref="B40:F40" si="48">B41+B47+B48</f>
        <v>-1631446</v>
      </c>
      <c r="C40" s="52">
        <f t="shared" si="48"/>
        <v>-1884422</v>
      </c>
      <c r="D40" s="52">
        <f t="shared" si="48"/>
        <v>-2107501</v>
      </c>
      <c r="E40" s="52">
        <f t="shared" si="48"/>
        <v>-2232969</v>
      </c>
      <c r="F40" s="52">
        <f t="shared" si="48"/>
        <v>-2319684</v>
      </c>
      <c r="G40" s="52">
        <f>G41+G47+G48</f>
        <v>-347891</v>
      </c>
      <c r="H40" s="52">
        <f t="shared" ref="H40:I40" si="49">H41+H47+H48</f>
        <v>-2211663.0244699996</v>
      </c>
      <c r="I40" s="52">
        <f t="shared" si="49"/>
        <v>-2248019.5010000002</v>
      </c>
      <c r="J40" s="52">
        <f t="shared" ref="J40" si="50">J41+J47+J48</f>
        <v>0</v>
      </c>
      <c r="K40" s="52">
        <f t="shared" ref="K40" si="51">K41+K47+K48</f>
        <v>-1917501.43447</v>
      </c>
      <c r="L40" s="52">
        <f t="shared" ref="L40" si="52">L41+L47+L48</f>
        <v>-1883981.43447</v>
      </c>
      <c r="M40" s="52">
        <f t="shared" ref="M40" si="53">M41+M47+M48</f>
        <v>-1848700.43447</v>
      </c>
      <c r="N40" s="52">
        <f t="shared" ref="N40" si="54">N41+N47+N48</f>
        <v>-1849950.43447</v>
      </c>
      <c r="P40" s="59">
        <f t="shared" si="10"/>
        <v>-1917501.43447</v>
      </c>
      <c r="Q40" s="59">
        <f t="shared" si="26"/>
        <v>-1883981.43447</v>
      </c>
      <c r="R40" s="59">
        <f t="shared" si="27"/>
        <v>-1848700.43447</v>
      </c>
      <c r="S40" s="59">
        <f t="shared" si="28"/>
        <v>-1849950.43447</v>
      </c>
    </row>
    <row r="41" spans="1:19" x14ac:dyDescent="0.25">
      <c r="A41" t="s">
        <v>121</v>
      </c>
      <c r="B41" s="52">
        <f t="shared" ref="B41:N41" si="55">SUM(B42:B46)</f>
        <v>-819102</v>
      </c>
      <c r="C41" s="52">
        <f t="shared" si="55"/>
        <v>-1039922</v>
      </c>
      <c r="D41" s="52">
        <f t="shared" si="55"/>
        <v>-1208792</v>
      </c>
      <c r="E41" s="52">
        <f t="shared" si="55"/>
        <v>-1289616</v>
      </c>
      <c r="F41" s="52">
        <f t="shared" si="55"/>
        <v>-1318297</v>
      </c>
      <c r="G41" s="52">
        <f t="shared" si="55"/>
        <v>-1299871</v>
      </c>
      <c r="H41" s="52">
        <f t="shared" si="55"/>
        <v>-1291046.5899999999</v>
      </c>
      <c r="I41" s="52">
        <f t="shared" si="55"/>
        <v>-1244703.0759999999</v>
      </c>
      <c r="J41" s="52">
        <f t="shared" si="55"/>
        <v>0</v>
      </c>
      <c r="K41" s="52">
        <f t="shared" si="55"/>
        <v>-996885</v>
      </c>
      <c r="L41" s="52">
        <f t="shared" si="55"/>
        <v>-963365</v>
      </c>
      <c r="M41" s="52">
        <f t="shared" si="55"/>
        <v>-928084</v>
      </c>
      <c r="N41" s="52">
        <f t="shared" si="55"/>
        <v>-929334</v>
      </c>
      <c r="P41" s="59">
        <f t="shared" si="10"/>
        <v>-996885</v>
      </c>
      <c r="Q41" s="59">
        <f t="shared" si="26"/>
        <v>-963365</v>
      </c>
      <c r="R41" s="59">
        <f t="shared" si="27"/>
        <v>-928084</v>
      </c>
      <c r="S41" s="59">
        <f t="shared" si="28"/>
        <v>-929334</v>
      </c>
    </row>
    <row r="42" spans="1:19" x14ac:dyDescent="0.25">
      <c r="A42" t="s">
        <v>122</v>
      </c>
      <c r="B42" s="55">
        <v>-490344</v>
      </c>
      <c r="C42" s="55">
        <v>-482555</v>
      </c>
      <c r="D42" s="55">
        <v>-651425</v>
      </c>
      <c r="E42" s="55">
        <v>-732249</v>
      </c>
      <c r="F42" s="55">
        <v>-760930</v>
      </c>
      <c r="G42" s="53">
        <v>-751064</v>
      </c>
      <c r="H42" s="54">
        <v>-742314.59</v>
      </c>
      <c r="I42" s="56">
        <v>-695971.076</v>
      </c>
      <c r="J42" s="56"/>
      <c r="K42" s="86">
        <v>-996885</v>
      </c>
      <c r="L42" s="56">
        <v>-963365</v>
      </c>
      <c r="M42" s="56">
        <v>-928084</v>
      </c>
      <c r="N42" s="56">
        <v>-929334</v>
      </c>
      <c r="P42" s="62">
        <f>K42+'NYE INVESTERINGSTILTAK'!F18</f>
        <v>-996885</v>
      </c>
      <c r="Q42" s="62">
        <f>L42+'NYE INVESTERINGSTILTAK'!G18+'NYE INVESTERINGSTILTAK'!F18</f>
        <v>-963365</v>
      </c>
      <c r="R42" s="62">
        <f>M42+'NYE INVESTERINGSTILTAK'!H18+'NYE INVESTERINGSTILTAK'!F18+'NYE INVESTERINGSTILTAK'!G18</f>
        <v>-928084</v>
      </c>
      <c r="S42" s="62">
        <f>N42+'NYE INVESTERINGSTILTAK'!I18+'NYE INVESTERINGSTILTAK'!F18+'NYE INVESTERINGSTILTAK'!G18+'NYE INVESTERINGSTILTAK'!H18</f>
        <v>-929334</v>
      </c>
    </row>
    <row r="43" spans="1:19" x14ac:dyDescent="0.25">
      <c r="A43" t="s">
        <v>123</v>
      </c>
      <c r="B43" s="55"/>
      <c r="C43" s="55"/>
      <c r="D43" s="55"/>
      <c r="E43" s="55"/>
      <c r="F43" s="55"/>
      <c r="G43" s="53">
        <v>0</v>
      </c>
      <c r="K43" s="85"/>
      <c r="P43" s="59">
        <f t="shared" si="10"/>
        <v>0</v>
      </c>
      <c r="Q43" s="59">
        <f t="shared" si="26"/>
        <v>0</v>
      </c>
      <c r="R43" s="59">
        <f t="shared" si="27"/>
        <v>0</v>
      </c>
      <c r="S43" s="59">
        <f t="shared" si="28"/>
        <v>0</v>
      </c>
    </row>
    <row r="44" spans="1:19" x14ac:dyDescent="0.25">
      <c r="A44" t="s">
        <v>124</v>
      </c>
      <c r="B44" s="55"/>
      <c r="C44" s="55"/>
      <c r="D44" s="55"/>
      <c r="E44" s="55"/>
      <c r="F44" s="55"/>
      <c r="G44" s="53">
        <v>0</v>
      </c>
      <c r="I44">
        <v>-97000</v>
      </c>
      <c r="K44" s="85"/>
      <c r="P44" s="59">
        <f t="shared" si="10"/>
        <v>0</v>
      </c>
      <c r="Q44" s="59">
        <f t="shared" si="26"/>
        <v>0</v>
      </c>
      <c r="R44" s="59">
        <f t="shared" si="27"/>
        <v>0</v>
      </c>
      <c r="S44" s="59">
        <f t="shared" si="28"/>
        <v>0</v>
      </c>
    </row>
    <row r="45" spans="1:19" x14ac:dyDescent="0.25">
      <c r="A45" t="s">
        <v>125</v>
      </c>
      <c r="B45" s="57"/>
      <c r="C45" s="57"/>
      <c r="D45" s="55"/>
      <c r="E45" s="55"/>
      <c r="F45" s="55"/>
      <c r="G45" s="53">
        <v>-97000</v>
      </c>
      <c r="H45" s="54">
        <v>-97000</v>
      </c>
      <c r="I45" s="54"/>
      <c r="J45" s="54"/>
      <c r="K45" s="84"/>
      <c r="L45" s="54"/>
      <c r="M45" s="54"/>
      <c r="N45" s="54"/>
      <c r="P45" s="59">
        <f t="shared" si="10"/>
        <v>0</v>
      </c>
      <c r="Q45" s="59">
        <f t="shared" si="26"/>
        <v>0</v>
      </c>
      <c r="R45" s="59">
        <f t="shared" si="27"/>
        <v>0</v>
      </c>
      <c r="S45" s="59">
        <f t="shared" si="28"/>
        <v>0</v>
      </c>
    </row>
    <row r="46" spans="1:19" x14ac:dyDescent="0.25">
      <c r="A46" t="s">
        <v>126</v>
      </c>
      <c r="B46" s="55">
        <v>-328758</v>
      </c>
      <c r="C46" s="55">
        <v>-557367</v>
      </c>
      <c r="D46" s="55">
        <v>-557367</v>
      </c>
      <c r="E46" s="55">
        <v>-557367</v>
      </c>
      <c r="F46" s="55">
        <v>-557367</v>
      </c>
      <c r="G46" s="53">
        <v>-451807</v>
      </c>
      <c r="H46" s="54">
        <v>-451732</v>
      </c>
      <c r="I46" s="54">
        <v>-451732</v>
      </c>
      <c r="J46" s="54"/>
      <c r="K46" s="84"/>
      <c r="L46" s="54"/>
      <c r="M46" s="54"/>
      <c r="N46" s="54"/>
      <c r="P46" s="59">
        <f t="shared" si="10"/>
        <v>0</v>
      </c>
      <c r="Q46" s="59">
        <f t="shared" si="26"/>
        <v>0</v>
      </c>
      <c r="R46" s="59">
        <f t="shared" si="27"/>
        <v>0</v>
      </c>
      <c r="S46" s="59">
        <f t="shared" si="28"/>
        <v>0</v>
      </c>
    </row>
    <row r="47" spans="1:19" x14ac:dyDescent="0.25">
      <c r="A47" t="s">
        <v>127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P47" s="59">
        <f t="shared" si="10"/>
        <v>0</v>
      </c>
      <c r="Q47" s="59">
        <f t="shared" si="26"/>
        <v>0</v>
      </c>
      <c r="R47" s="59">
        <f t="shared" si="27"/>
        <v>0</v>
      </c>
      <c r="S47" s="59">
        <f t="shared" si="28"/>
        <v>0</v>
      </c>
    </row>
    <row r="48" spans="1:19" x14ac:dyDescent="0.25">
      <c r="A48" t="s">
        <v>128</v>
      </c>
      <c r="B48" s="53">
        <v>-812344</v>
      </c>
      <c r="C48" s="53">
        <v>-844500</v>
      </c>
      <c r="D48" s="53">
        <v>-898709</v>
      </c>
      <c r="E48" s="53">
        <v>-943353</v>
      </c>
      <c r="F48" s="53">
        <v>-1001387</v>
      </c>
      <c r="G48" s="53">
        <v>951980</v>
      </c>
      <c r="H48" s="54">
        <v>-920616.43446999998</v>
      </c>
      <c r="I48" s="54">
        <v>-1003316.425</v>
      </c>
      <c r="J48" s="54"/>
      <c r="K48" s="54">
        <v>-920616.43446999998</v>
      </c>
      <c r="L48" s="54">
        <v>-920616.43446999998</v>
      </c>
      <c r="M48" s="54">
        <v>-920616.43446999998</v>
      </c>
      <c r="N48" s="54">
        <v>-920616.43446999998</v>
      </c>
      <c r="P48" s="59">
        <f t="shared" si="10"/>
        <v>-920616.43446999998</v>
      </c>
      <c r="Q48" s="59">
        <f t="shared" si="26"/>
        <v>-920616.43446999998</v>
      </c>
      <c r="R48" s="59">
        <f t="shared" si="27"/>
        <v>-920616.43446999998</v>
      </c>
      <c r="S48" s="59">
        <f t="shared" si="28"/>
        <v>-920616.43446999998</v>
      </c>
    </row>
    <row r="49" spans="1:19" x14ac:dyDescent="0.25">
      <c r="A49" t="s">
        <v>129</v>
      </c>
      <c r="B49" s="52">
        <f t="shared" ref="B49:F49" si="56">B50</f>
        <v>-175057</v>
      </c>
      <c r="C49" s="52">
        <f t="shared" si="56"/>
        <v>-186096</v>
      </c>
      <c r="D49" s="52">
        <f t="shared" si="56"/>
        <v>-213281</v>
      </c>
      <c r="E49" s="52">
        <f t="shared" si="56"/>
        <v>-154129</v>
      </c>
      <c r="F49" s="52">
        <f t="shared" si="56"/>
        <v>-183234</v>
      </c>
      <c r="G49" s="52">
        <f>G50</f>
        <v>-191848</v>
      </c>
      <c r="H49" s="52">
        <f t="shared" ref="H49:I49" si="57">H50</f>
        <v>-158151.99400000001</v>
      </c>
      <c r="I49" s="52">
        <f t="shared" si="57"/>
        <v>-162478.285</v>
      </c>
      <c r="J49" s="52">
        <f t="shared" ref="J49" si="58">J50</f>
        <v>0</v>
      </c>
      <c r="K49" s="52">
        <f t="shared" ref="K49" si="59">K50</f>
        <v>-158149.99400000001</v>
      </c>
      <c r="L49" s="52">
        <f t="shared" ref="L49" si="60">L50</f>
        <v>-158148.99400000001</v>
      </c>
      <c r="M49" s="52">
        <f t="shared" ref="M49" si="61">M50</f>
        <v>-158147.99400000001</v>
      </c>
      <c r="N49" s="52">
        <f t="shared" ref="N49" si="62">N50</f>
        <v>-158146.99400000001</v>
      </c>
      <c r="P49" s="59">
        <f t="shared" si="10"/>
        <v>-158149.99400000001</v>
      </c>
      <c r="Q49" s="59">
        <f t="shared" si="26"/>
        <v>-158148.99400000001</v>
      </c>
      <c r="R49" s="59">
        <f t="shared" si="27"/>
        <v>-158147.99400000001</v>
      </c>
      <c r="S49" s="59">
        <f t="shared" si="28"/>
        <v>-158146.99400000001</v>
      </c>
    </row>
    <row r="50" spans="1:19" x14ac:dyDescent="0.25">
      <c r="A50" t="s">
        <v>130</v>
      </c>
      <c r="B50" s="52">
        <f t="shared" ref="B50:N50" si="63">SUM(B51:B56)</f>
        <v>-175057</v>
      </c>
      <c r="C50" s="52">
        <f t="shared" si="63"/>
        <v>-186096</v>
      </c>
      <c r="D50" s="52">
        <f t="shared" si="63"/>
        <v>-213281</v>
      </c>
      <c r="E50" s="52">
        <f t="shared" si="63"/>
        <v>-154129</v>
      </c>
      <c r="F50" s="52">
        <f t="shared" si="63"/>
        <v>-183234</v>
      </c>
      <c r="G50" s="52">
        <f t="shared" si="63"/>
        <v>-191848</v>
      </c>
      <c r="H50" s="52">
        <f t="shared" si="63"/>
        <v>-158151.99400000001</v>
      </c>
      <c r="I50" s="52">
        <f t="shared" si="63"/>
        <v>-162478.285</v>
      </c>
      <c r="J50" s="52">
        <f t="shared" si="63"/>
        <v>0</v>
      </c>
      <c r="K50" s="52">
        <f t="shared" si="63"/>
        <v>-158149.99400000001</v>
      </c>
      <c r="L50" s="52">
        <f t="shared" si="63"/>
        <v>-158148.99400000001</v>
      </c>
      <c r="M50" s="52">
        <f t="shared" si="63"/>
        <v>-158147.99400000001</v>
      </c>
      <c r="N50" s="52">
        <f t="shared" si="63"/>
        <v>-158146.99400000001</v>
      </c>
      <c r="P50" s="59">
        <f t="shared" si="10"/>
        <v>-158149.99400000001</v>
      </c>
      <c r="Q50" s="59">
        <f t="shared" si="26"/>
        <v>-158148.99400000001</v>
      </c>
      <c r="R50" s="59">
        <f t="shared" si="27"/>
        <v>-158147.99400000001</v>
      </c>
      <c r="S50" s="59">
        <f t="shared" si="28"/>
        <v>-158146.99400000001</v>
      </c>
    </row>
    <row r="51" spans="1:19" x14ac:dyDescent="0.25">
      <c r="A51" t="s">
        <v>131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-44357</v>
      </c>
      <c r="H51" s="54">
        <v>-52067.459940000001</v>
      </c>
      <c r="I51" s="54">
        <v>-49141.334999999999</v>
      </c>
      <c r="J51" s="54"/>
      <c r="K51" s="54">
        <v>-52067.459940000001</v>
      </c>
      <c r="L51" s="54">
        <v>-52067.459940000001</v>
      </c>
      <c r="M51" s="54">
        <v>-52067.459940000001</v>
      </c>
      <c r="N51" s="54">
        <v>-52067.459940000001</v>
      </c>
      <c r="P51" s="59">
        <f t="shared" si="10"/>
        <v>-52067.459940000001</v>
      </c>
      <c r="Q51" s="59">
        <f t="shared" si="26"/>
        <v>-52067.459940000001</v>
      </c>
      <c r="R51" s="59">
        <f t="shared" si="27"/>
        <v>-52067.459940000001</v>
      </c>
      <c r="S51" s="59">
        <f t="shared" si="28"/>
        <v>-52067.459940000001</v>
      </c>
    </row>
    <row r="52" spans="1:19" x14ac:dyDescent="0.25">
      <c r="A52" t="s">
        <v>132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P52" s="59">
        <f t="shared" si="10"/>
        <v>0</v>
      </c>
      <c r="Q52" s="59">
        <f t="shared" si="26"/>
        <v>0</v>
      </c>
      <c r="R52" s="59">
        <f t="shared" si="27"/>
        <v>0</v>
      </c>
      <c r="S52" s="59">
        <f t="shared" si="28"/>
        <v>0</v>
      </c>
    </row>
    <row r="53" spans="1:19" x14ac:dyDescent="0.25">
      <c r="A53" t="s">
        <v>133</v>
      </c>
      <c r="B53" s="53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P53" s="59">
        <f t="shared" si="10"/>
        <v>0</v>
      </c>
      <c r="Q53" s="59">
        <f t="shared" si="26"/>
        <v>0</v>
      </c>
      <c r="R53" s="59">
        <f t="shared" si="27"/>
        <v>0</v>
      </c>
      <c r="S53" s="59">
        <f t="shared" si="28"/>
        <v>0</v>
      </c>
    </row>
    <row r="54" spans="1:19" x14ac:dyDescent="0.25">
      <c r="A54" t="s">
        <v>134</v>
      </c>
      <c r="B54" s="53">
        <v>-175057</v>
      </c>
      <c r="C54" s="53">
        <v>-186096</v>
      </c>
      <c r="D54" s="53">
        <v>-213281</v>
      </c>
      <c r="E54" s="53">
        <v>-154129</v>
      </c>
      <c r="F54" s="53">
        <v>-183234</v>
      </c>
      <c r="G54" s="53">
        <v>-147491</v>
      </c>
      <c r="H54" s="54">
        <v>-106084.53406000001</v>
      </c>
      <c r="I54" s="54">
        <v>-113336.95</v>
      </c>
      <c r="J54" s="54"/>
      <c r="K54" s="54">
        <v>-106082.53406000001</v>
      </c>
      <c r="L54" s="54">
        <v>-106081.53406000001</v>
      </c>
      <c r="M54" s="54">
        <v>-106080.53406000001</v>
      </c>
      <c r="N54" s="54">
        <v>-106079.53406000001</v>
      </c>
      <c r="P54" s="59">
        <f t="shared" si="10"/>
        <v>-106082.53406000001</v>
      </c>
      <c r="Q54" s="59">
        <f t="shared" si="26"/>
        <v>-106081.53406000001</v>
      </c>
      <c r="R54" s="59">
        <f t="shared" si="27"/>
        <v>-106080.53406000001</v>
      </c>
      <c r="S54" s="59">
        <f t="shared" si="28"/>
        <v>-106079.53406000001</v>
      </c>
    </row>
    <row r="55" spans="1:19" x14ac:dyDescent="0.25">
      <c r="A55" t="s">
        <v>135</v>
      </c>
      <c r="B55" s="53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P55" s="59">
        <f t="shared" si="10"/>
        <v>0</v>
      </c>
      <c r="Q55" s="59">
        <f t="shared" si="26"/>
        <v>0</v>
      </c>
      <c r="R55" s="59">
        <f t="shared" si="27"/>
        <v>0</v>
      </c>
      <c r="S55" s="59">
        <f t="shared" si="28"/>
        <v>0</v>
      </c>
    </row>
    <row r="56" spans="1:19" x14ac:dyDescent="0.25">
      <c r="A56" t="s">
        <v>136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P56" s="59">
        <f t="shared" si="10"/>
        <v>0</v>
      </c>
      <c r="Q56" s="59">
        <f t="shared" si="26"/>
        <v>0</v>
      </c>
      <c r="R56" s="59">
        <f t="shared" si="27"/>
        <v>0</v>
      </c>
      <c r="S56" s="59">
        <f t="shared" si="28"/>
        <v>0</v>
      </c>
    </row>
    <row r="57" spans="1:19" x14ac:dyDescent="0.25">
      <c r="A57" t="s">
        <v>137</v>
      </c>
      <c r="B57" s="52">
        <f t="shared" ref="B57:F57" si="64">B49+B40+B27</f>
        <v>-2414029</v>
      </c>
      <c r="C57" s="52">
        <f t="shared" si="64"/>
        <v>-2719194</v>
      </c>
      <c r="D57" s="52">
        <f t="shared" si="64"/>
        <v>-3032727</v>
      </c>
      <c r="E57" s="52">
        <f t="shared" si="64"/>
        <v>-3217396</v>
      </c>
      <c r="F57" s="52">
        <f t="shared" si="64"/>
        <v>-3338790</v>
      </c>
      <c r="G57" s="52">
        <f>G49+G40+G27</f>
        <v>-1594488</v>
      </c>
      <c r="H57" s="52">
        <f t="shared" ref="H57:N57" si="65">H49+H40+H27</f>
        <v>-3442549.5649399995</v>
      </c>
      <c r="I57" s="52">
        <f t="shared" si="65"/>
        <v>-3465465.4690000005</v>
      </c>
      <c r="J57" s="52">
        <f t="shared" si="65"/>
        <v>-52152</v>
      </c>
      <c r="K57" s="52">
        <f t="shared" si="65"/>
        <v>-3171612.3741199998</v>
      </c>
      <c r="L57" s="52">
        <f t="shared" si="65"/>
        <v>-3156091.3741199998</v>
      </c>
      <c r="M57" s="52">
        <f t="shared" si="65"/>
        <v>-3138809.3741199998</v>
      </c>
      <c r="N57" s="52">
        <f t="shared" si="65"/>
        <v>-3158058.3741199998</v>
      </c>
      <c r="P57" s="59">
        <f>P59</f>
        <v>39561.639729999995</v>
      </c>
      <c r="Q57" s="59">
        <f t="shared" si="26"/>
        <v>-3156091.3741199998</v>
      </c>
      <c r="R57" s="59">
        <f t="shared" si="27"/>
        <v>-3138809.3741199998</v>
      </c>
      <c r="S57" s="59">
        <f t="shared" si="28"/>
        <v>-3158058.3741199998</v>
      </c>
    </row>
    <row r="58" spans="1:19" x14ac:dyDescent="0.25">
      <c r="A58" t="s">
        <v>138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-1</v>
      </c>
    </row>
    <row r="59" spans="1:19" x14ac:dyDescent="0.25">
      <c r="A59" t="s">
        <v>139</v>
      </c>
      <c r="B59" s="53">
        <v>79292</v>
      </c>
      <c r="C59" s="53">
        <v>95464</v>
      </c>
      <c r="D59" s="53">
        <v>83939</v>
      </c>
      <c r="E59" s="53">
        <v>115522</v>
      </c>
      <c r="F59" s="53">
        <v>97191</v>
      </c>
      <c r="G59" s="53">
        <v>69222</v>
      </c>
      <c r="H59" s="53">
        <v>39561.639729999995</v>
      </c>
      <c r="I59" s="53">
        <v>21957.422999999999</v>
      </c>
      <c r="J59" s="53"/>
      <c r="K59" s="53">
        <v>39561.639729999995</v>
      </c>
      <c r="L59" s="53">
        <v>39561.639729999995</v>
      </c>
      <c r="M59" s="53">
        <v>39561.639729999995</v>
      </c>
      <c r="N59" s="53">
        <v>39561.639729999995</v>
      </c>
      <c r="P59" s="59">
        <f>N59</f>
        <v>39561.639729999995</v>
      </c>
      <c r="Q59" s="59">
        <f t="shared" ref="Q59:S61" si="66">O59</f>
        <v>0</v>
      </c>
      <c r="R59" s="59">
        <f t="shared" si="66"/>
        <v>39561.639729999995</v>
      </c>
      <c r="S59" s="59">
        <f t="shared" si="66"/>
        <v>0</v>
      </c>
    </row>
    <row r="60" spans="1:19" x14ac:dyDescent="0.25">
      <c r="A60" t="s">
        <v>140</v>
      </c>
      <c r="B60" s="53">
        <v>7117</v>
      </c>
      <c r="C60" s="53">
        <v>18851</v>
      </c>
      <c r="D60" s="53">
        <v>19674</v>
      </c>
      <c r="E60" s="53">
        <v>19866</v>
      </c>
      <c r="F60" s="53">
        <v>18880</v>
      </c>
      <c r="G60" s="53">
        <v>18161</v>
      </c>
      <c r="H60" s="53">
        <v>1521.5640000000001</v>
      </c>
      <c r="I60" s="53"/>
      <c r="J60" s="53"/>
      <c r="K60" s="53">
        <v>1521.5640000000001</v>
      </c>
      <c r="L60" s="53">
        <v>1521.5640000000001</v>
      </c>
      <c r="M60" s="53">
        <v>1521.5640000000001</v>
      </c>
      <c r="N60" s="53">
        <v>1521.5640000000001</v>
      </c>
      <c r="P60" s="59">
        <f t="shared" ref="P60:P61" si="67">N60</f>
        <v>1521.5640000000001</v>
      </c>
      <c r="Q60" s="59">
        <f t="shared" si="66"/>
        <v>0</v>
      </c>
      <c r="R60" s="59">
        <f t="shared" si="66"/>
        <v>1521.5640000000001</v>
      </c>
      <c r="S60" s="59">
        <f t="shared" si="66"/>
        <v>0</v>
      </c>
    </row>
    <row r="61" spans="1:19" x14ac:dyDescent="0.25">
      <c r="A61" t="s">
        <v>141</v>
      </c>
      <c r="B61" s="53">
        <v>-86409</v>
      </c>
      <c r="C61" s="53">
        <v>-114315</v>
      </c>
      <c r="D61" s="53">
        <v>-103613</v>
      </c>
      <c r="E61" s="53">
        <v>-135388</v>
      </c>
      <c r="F61" s="53">
        <v>-116071</v>
      </c>
      <c r="G61" s="53">
        <v>-87384</v>
      </c>
      <c r="H61" s="53">
        <v>-41083.203729999994</v>
      </c>
      <c r="I61" s="53"/>
      <c r="J61" s="53"/>
      <c r="K61" s="53">
        <v>-41083.203729999994</v>
      </c>
      <c r="L61" s="53">
        <v>-41083.203729999994</v>
      </c>
      <c r="M61" s="53">
        <v>-41083.203729999994</v>
      </c>
      <c r="N61" s="53">
        <v>-41083.203729999994</v>
      </c>
      <c r="P61" s="59">
        <f t="shared" si="67"/>
        <v>-41083.203729999994</v>
      </c>
      <c r="Q61" s="59">
        <f t="shared" si="66"/>
        <v>0</v>
      </c>
      <c r="R61" s="59">
        <f t="shared" si="66"/>
        <v>-41083.203729999994</v>
      </c>
      <c r="S61" s="59">
        <f t="shared" si="66"/>
        <v>0</v>
      </c>
    </row>
    <row r="62" spans="1:19" x14ac:dyDescent="0.25">
      <c r="A62" t="s">
        <v>142</v>
      </c>
      <c r="B62" s="53">
        <v>-232</v>
      </c>
      <c r="C62" s="53">
        <v>-462</v>
      </c>
      <c r="D62" s="53">
        <v>-404</v>
      </c>
      <c r="E62" s="53">
        <v>-1032</v>
      </c>
      <c r="F62" s="53">
        <v>-952</v>
      </c>
      <c r="G62" s="53">
        <v>-907</v>
      </c>
    </row>
    <row r="63" spans="1:19" x14ac:dyDescent="0.25">
      <c r="A63" t="s">
        <v>143</v>
      </c>
      <c r="B63" s="53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M63" s="53"/>
    </row>
    <row r="64" spans="1:19" x14ac:dyDescent="0.25">
      <c r="A64" t="s">
        <v>144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</row>
    <row r="65" spans="1:19" x14ac:dyDescent="0.25">
      <c r="A65" t="s">
        <v>145</v>
      </c>
      <c r="B65" s="53">
        <v>0</v>
      </c>
      <c r="C65" s="53">
        <v>-8</v>
      </c>
      <c r="D65" s="53">
        <v>-6577</v>
      </c>
      <c r="E65" s="53">
        <v>-6222</v>
      </c>
      <c r="F65" s="53">
        <v>-7296</v>
      </c>
      <c r="G65" s="53">
        <v>-6723</v>
      </c>
    </row>
    <row r="66" spans="1:19" x14ac:dyDescent="0.25">
      <c r="B66" s="53"/>
      <c r="C66" s="53"/>
      <c r="D66" s="53"/>
      <c r="E66" s="53"/>
      <c r="F66" s="53"/>
      <c r="G66" s="53"/>
    </row>
    <row r="67" spans="1:19" x14ac:dyDescent="0.25">
      <c r="B67" s="58">
        <v>2015</v>
      </c>
      <c r="C67" s="58">
        <v>2016</v>
      </c>
      <c r="D67" s="58">
        <v>2017</v>
      </c>
      <c r="E67" s="58">
        <v>2018</v>
      </c>
      <c r="F67" s="58">
        <v>2019</v>
      </c>
      <c r="G67" s="58">
        <v>2020</v>
      </c>
      <c r="H67" s="58">
        <v>2021</v>
      </c>
      <c r="I67" s="58">
        <v>2022</v>
      </c>
      <c r="J67" s="58" t="s">
        <v>171</v>
      </c>
      <c r="K67" s="94" t="s">
        <v>172</v>
      </c>
      <c r="L67" s="94" t="s">
        <v>173</v>
      </c>
      <c r="M67" s="94" t="s">
        <v>175</v>
      </c>
      <c r="N67" s="94" t="s">
        <v>304</v>
      </c>
      <c r="P67" s="58" t="s">
        <v>172</v>
      </c>
      <c r="Q67" s="58" t="s">
        <v>173</v>
      </c>
      <c r="R67" s="58" t="s">
        <v>175</v>
      </c>
      <c r="S67" s="58" t="s">
        <v>304</v>
      </c>
    </row>
    <row r="68" spans="1:19" x14ac:dyDescent="0.25">
      <c r="A68" t="s">
        <v>146</v>
      </c>
      <c r="B68" s="53">
        <v>177000</v>
      </c>
      <c r="C68" s="53">
        <v>177000</v>
      </c>
      <c r="D68" s="53">
        <v>177000</v>
      </c>
      <c r="E68" s="53">
        <v>177000</v>
      </c>
      <c r="F68" s="53">
        <v>177000</v>
      </c>
      <c r="G68" s="53">
        <v>177000</v>
      </c>
      <c r="H68" s="53">
        <v>177000</v>
      </c>
      <c r="I68" s="53">
        <v>177000</v>
      </c>
      <c r="J68" s="53"/>
      <c r="K68" s="55"/>
      <c r="L68" s="53"/>
      <c r="M68" s="53"/>
      <c r="N68" s="53"/>
      <c r="P68" s="53"/>
      <c r="Q68" s="53"/>
      <c r="R68" s="53"/>
      <c r="S68" s="53"/>
    </row>
    <row r="69" spans="1:19" x14ac:dyDescent="0.25">
      <c r="A69" t="s">
        <v>147</v>
      </c>
      <c r="B69" s="53">
        <f>(SUM(B42:B46)*-1)-B14-B68</f>
        <v>384320</v>
      </c>
      <c r="C69" s="53">
        <f t="shared" ref="C69:G69" si="68">(SUM(C42:C46)*-1)-C14-C68</f>
        <v>548861</v>
      </c>
      <c r="D69" s="53">
        <f t="shared" si="68"/>
        <v>747798</v>
      </c>
      <c r="E69" s="53">
        <f t="shared" si="68"/>
        <v>820120</v>
      </c>
      <c r="F69" s="53">
        <f t="shared" si="68"/>
        <v>935210</v>
      </c>
      <c r="G69" s="53">
        <f t="shared" si="68"/>
        <v>1010893</v>
      </c>
      <c r="H69" s="53">
        <f>(SUM(H42:H46)*-1)-H14-H68</f>
        <v>1046623.9458399999</v>
      </c>
      <c r="I69" s="53">
        <f t="shared" ref="I69:S69" si="69">(SUM(I42:I46)*-1)-I14-I68</f>
        <v>942446.1379999998</v>
      </c>
      <c r="J69" s="53">
        <f t="shared" si="69"/>
        <v>0</v>
      </c>
      <c r="K69" s="87">
        <v>996885</v>
      </c>
      <c r="L69" s="53">
        <v>963365</v>
      </c>
      <c r="M69" s="87">
        <v>928084</v>
      </c>
      <c r="N69" s="53">
        <v>929334</v>
      </c>
      <c r="O69" s="53">
        <f t="shared" si="69"/>
        <v>0</v>
      </c>
      <c r="P69" s="53">
        <f t="shared" si="69"/>
        <v>996885</v>
      </c>
      <c r="Q69" s="53">
        <f t="shared" si="69"/>
        <v>963365</v>
      </c>
      <c r="R69" s="53">
        <f t="shared" si="69"/>
        <v>928084</v>
      </c>
      <c r="S69" s="53">
        <f t="shared" si="69"/>
        <v>929334</v>
      </c>
    </row>
    <row r="70" spans="1:19" x14ac:dyDescent="0.25">
      <c r="A70" t="s">
        <v>148</v>
      </c>
      <c r="B70" s="53">
        <v>803754</v>
      </c>
      <c r="C70" s="53">
        <v>852594</v>
      </c>
      <c r="D70" s="53">
        <v>895765</v>
      </c>
      <c r="E70" s="53">
        <v>923519</v>
      </c>
      <c r="F70" s="53">
        <v>935286</v>
      </c>
      <c r="G70" s="53">
        <v>948677</v>
      </c>
      <c r="H70" s="59">
        <v>1017060</v>
      </c>
      <c r="I70" s="59">
        <v>1017061</v>
      </c>
      <c r="J70" s="59">
        <v>-1131000</v>
      </c>
      <c r="K70" s="87">
        <f>'NYE DRIFTSTILTAK'!B13*-1</f>
        <v>1317437</v>
      </c>
      <c r="L70" s="87">
        <f>'NYE DRIFTSTILTAK'!C13*-1</f>
        <v>1322803</v>
      </c>
      <c r="M70" s="87">
        <f>'NYE DRIFTSTILTAK'!D13*-1</f>
        <v>1328610</v>
      </c>
      <c r="N70" s="87">
        <f>'NYE DRIFTSTILTAK'!E13*-1</f>
        <v>1333278</v>
      </c>
      <c r="O70">
        <f>'NYE DRIFTSTILTAK'!F13*-1</f>
        <v>0</v>
      </c>
      <c r="P70">
        <f>'NYE DRIFTSTILTAK'!J13*-1</f>
        <v>1317437</v>
      </c>
      <c r="Q70">
        <f>'NYE DRIFTSTILTAK'!K13*-1</f>
        <v>1322803</v>
      </c>
      <c r="R70">
        <f>'NYE DRIFTSTILTAK'!L13*-1</f>
        <v>1328610</v>
      </c>
      <c r="S70">
        <f>'NYE DRIFTSTILTAK'!M13*-1</f>
        <v>1333278</v>
      </c>
    </row>
    <row r="71" spans="1:19" x14ac:dyDescent="0.25">
      <c r="A71" t="s">
        <v>149</v>
      </c>
      <c r="B71" s="60">
        <f>B69/B70</f>
        <v>0.47815625178848253</v>
      </c>
      <c r="C71" s="60">
        <f t="shared" ref="C71:G71" si="70">C69/C70</f>
        <v>0.643754237069461</v>
      </c>
      <c r="D71" s="60">
        <f t="shared" si="70"/>
        <v>0.83481493472060198</v>
      </c>
      <c r="E71" s="60">
        <f t="shared" si="70"/>
        <v>0.88803803711672413</v>
      </c>
      <c r="F71" s="60">
        <f t="shared" si="70"/>
        <v>0.99991874143310178</v>
      </c>
      <c r="G71" s="60">
        <f t="shared" si="70"/>
        <v>1.0655818576818032</v>
      </c>
      <c r="H71" s="60">
        <f>H69/H70</f>
        <v>1.0290680449924292</v>
      </c>
      <c r="I71" s="60">
        <v>0.94269999999999998</v>
      </c>
      <c r="J71" s="60">
        <f>J69/J70</f>
        <v>0</v>
      </c>
      <c r="K71" s="91">
        <f>K69/K70</f>
        <v>0.75668513940325044</v>
      </c>
      <c r="L71" s="91">
        <f t="shared" ref="L71:N71" si="71">L69/L70</f>
        <v>0.72827548773324524</v>
      </c>
      <c r="M71" s="91">
        <f t="shared" si="71"/>
        <v>0.69853756933938482</v>
      </c>
      <c r="N71" s="91">
        <f t="shared" si="71"/>
        <v>0.69702942672120893</v>
      </c>
      <c r="O71" s="83"/>
      <c r="P71" s="5">
        <f>P69/P70</f>
        <v>0.75668513940325044</v>
      </c>
      <c r="Q71" s="5">
        <f t="shared" ref="Q71:S71" si="72">Q69/Q70</f>
        <v>0.72827548773324524</v>
      </c>
      <c r="R71" s="91">
        <f t="shared" si="72"/>
        <v>0.69853756933938482</v>
      </c>
      <c r="S71" s="91">
        <f t="shared" si="72"/>
        <v>0.69702942672120893</v>
      </c>
    </row>
    <row r="72" spans="1:19" x14ac:dyDescent="0.25">
      <c r="A72" t="s">
        <v>150</v>
      </c>
      <c r="B72" s="61">
        <f>B29/-B70</f>
        <v>3.2018503173856676E-2</v>
      </c>
      <c r="C72" s="61">
        <f t="shared" ref="C72:N72" si="73">C29/-C70</f>
        <v>6.1540428386781983E-2</v>
      </c>
      <c r="D72" s="61">
        <f t="shared" si="73"/>
        <v>7.8459194096665977E-2</v>
      </c>
      <c r="E72" s="61">
        <f t="shared" si="73"/>
        <v>7.4165231034770268E-2</v>
      </c>
      <c r="F72" s="61">
        <f t="shared" si="73"/>
        <v>7.6115754966929905E-2</v>
      </c>
      <c r="G72" s="61">
        <f t="shared" si="73"/>
        <v>6.5218193336615091E-2</v>
      </c>
      <c r="H72" s="5">
        <f>H29/-H70</f>
        <v>6.1342104516940985E-2</v>
      </c>
      <c r="I72" s="5">
        <v>6.6500000000000004E-2</v>
      </c>
      <c r="J72" s="5">
        <f t="shared" si="73"/>
        <v>-4.6111405835543767E-2</v>
      </c>
      <c r="K72" s="91">
        <f>K29/-K70</f>
        <v>6.4986029692501432E-2</v>
      </c>
      <c r="L72" s="91">
        <f t="shared" si="73"/>
        <v>7.8329879808255648E-2</v>
      </c>
      <c r="M72" s="91">
        <f t="shared" si="73"/>
        <v>9.1535514560329975E-2</v>
      </c>
      <c r="N72" s="91">
        <f t="shared" si="73"/>
        <v>0.10471559569722143</v>
      </c>
      <c r="O72" s="5"/>
      <c r="P72" s="91">
        <f>P29/-P70</f>
        <v>6.4986029692501432E-2</v>
      </c>
      <c r="Q72" s="91">
        <f>Q29/-Q70</f>
        <v>7.8329879808255648E-2</v>
      </c>
      <c r="R72" s="91">
        <f>R29/-R70</f>
        <v>9.1535514560329975E-2</v>
      </c>
      <c r="S72" s="91">
        <f>S29/-S70</f>
        <v>0.10471559569722143</v>
      </c>
    </row>
    <row r="74" spans="1:19" x14ac:dyDescent="0.25">
      <c r="K74" s="60"/>
      <c r="L74" s="60"/>
      <c r="M74" s="60"/>
      <c r="N74" s="60"/>
    </row>
    <row r="75" spans="1:19" x14ac:dyDescent="0.25">
      <c r="K75" s="5"/>
      <c r="L75" s="5"/>
      <c r="M75" s="5"/>
      <c r="N75" s="5"/>
    </row>
    <row r="84" spans="3:16" ht="16.5" x14ac:dyDescent="0.3">
      <c r="C84" s="2">
        <v>2026</v>
      </c>
      <c r="D84" s="64" t="s">
        <v>155</v>
      </c>
      <c r="E84" s="2" t="s">
        <v>163</v>
      </c>
      <c r="F84" s="64" t="s">
        <v>159</v>
      </c>
      <c r="G84" s="64" t="s">
        <v>160</v>
      </c>
      <c r="H84" s="2" t="s">
        <v>161</v>
      </c>
      <c r="I84" s="63" t="str">
        <f>"Kommunedirektørens budsjettforslag "&amp;C84</f>
        <v>Kommunedirektørens budsjettforslag 2026</v>
      </c>
      <c r="J84" s="2" t="s">
        <v>162</v>
      </c>
      <c r="K84" s="2" t="str">
        <f>FORSIDE!$B$2&amp;"s budsjettforslag "&amp;C84</f>
        <v>Skriv inn gruppes budsjettforslag 2026</v>
      </c>
      <c r="L84" s="2"/>
      <c r="M84" s="2"/>
      <c r="N84" s="2"/>
      <c r="O84" s="2"/>
      <c r="P84" s="2"/>
    </row>
    <row r="85" spans="3:16" ht="16.5" x14ac:dyDescent="0.3">
      <c r="C85" s="2" t="s">
        <v>157</v>
      </c>
      <c r="D85" s="29">
        <f>'NYE DRIFTSTILTAK'!B31</f>
        <v>2.7035068849592048E-2</v>
      </c>
      <c r="E85" s="29">
        <f>'NYE DRIFTSTILTAK'!J30/'NYE DRIFTSTILTAK'!J13</f>
        <v>2.7035068849592048E-2</v>
      </c>
      <c r="F85" s="27">
        <v>0.02</v>
      </c>
      <c r="G85" s="27">
        <v>-0.05</v>
      </c>
      <c r="H85" s="2" t="str">
        <f>C85</f>
        <v>Netto driftsresultat i prosent av driftsinntektene</v>
      </c>
      <c r="I85" s="69">
        <f>(D85-G85)/(F85-G85)</f>
        <v>1.1005009835656006</v>
      </c>
      <c r="J85" s="65">
        <v>1</v>
      </c>
      <c r="K85" s="65">
        <f>IF(FORSIDE!$B$2="","",(E85-G85)/(F85-G85))</f>
        <v>1.1005009835656006</v>
      </c>
      <c r="L85" s="2"/>
      <c r="M85" s="3"/>
      <c r="N85" s="3" t="s">
        <v>168</v>
      </c>
      <c r="O85" s="3" t="s">
        <v>166</v>
      </c>
      <c r="P85" s="3" t="str">
        <f>FORSIDE!B2</f>
        <v>Skriv inn gruppe</v>
      </c>
    </row>
    <row r="86" spans="3:16" ht="16.5" x14ac:dyDescent="0.3">
      <c r="C86" s="2" t="s">
        <v>158</v>
      </c>
      <c r="D86" s="28">
        <f>K71</f>
        <v>0.75668513940325044</v>
      </c>
      <c r="E86" s="28">
        <f>'BEREGNING NØKKELTALL'!P71</f>
        <v>0.75668513940325044</v>
      </c>
      <c r="F86" s="27">
        <v>0.75</v>
      </c>
      <c r="G86" s="27">
        <v>1.2</v>
      </c>
      <c r="H86" s="2" t="str">
        <f>C86</f>
        <v>Netto renteeksponert gjeld i prosent av driftsinntektene</v>
      </c>
      <c r="I86" s="69">
        <f>(D86-G86)/(F86-G86)</f>
        <v>0.9851441346594435</v>
      </c>
      <c r="J86" s="65">
        <v>1</v>
      </c>
      <c r="K86" s="65">
        <f>IF(FORSIDE!$B$2="","",(E86-G86)/(F86-G86))</f>
        <v>0.9851441346594435</v>
      </c>
      <c r="L86" s="2"/>
      <c r="M86" s="2"/>
      <c r="N86" s="3" t="s">
        <v>165</v>
      </c>
      <c r="O86" s="65">
        <f>I88</f>
        <v>0.39823382323461454</v>
      </c>
      <c r="P86" s="65">
        <f>K88</f>
        <v>0.39823382323461454</v>
      </c>
    </row>
    <row r="87" spans="3:16" ht="16.5" x14ac:dyDescent="0.3">
      <c r="C87" s="2" t="s">
        <v>156</v>
      </c>
      <c r="D87" s="28">
        <f>K72</f>
        <v>6.4986029692501432E-2</v>
      </c>
      <c r="E87" s="28">
        <f>'BEREGNING NØKKELTALL'!P72</f>
        <v>6.4986029692501432E-2</v>
      </c>
      <c r="F87" s="27">
        <v>0.1</v>
      </c>
      <c r="G87" s="27">
        <v>0</v>
      </c>
      <c r="H87" s="2" t="str">
        <f>C87</f>
        <v>Dispsisjonsfond i prosent av driftsinntektene</v>
      </c>
      <c r="I87" s="69">
        <f>(D87-G87)/(F87-G87)</f>
        <v>0.64986029692501424</v>
      </c>
      <c r="J87" s="65">
        <v>1</v>
      </c>
      <c r="K87" s="65">
        <f>IF(FORSIDE!$B$2="","",(E87-G87)/(F87-G87))</f>
        <v>0.64986029692501424</v>
      </c>
      <c r="L87" s="2"/>
      <c r="M87" s="3"/>
      <c r="N87" s="3" t="s">
        <v>167</v>
      </c>
      <c r="O87" s="65">
        <f>1-O86</f>
        <v>0.60176617676538546</v>
      </c>
      <c r="P87" s="65">
        <f>1-P86</f>
        <v>0.60176617676538546</v>
      </c>
    </row>
    <row r="88" spans="3:16" ht="16.5" x14ac:dyDescent="0.3">
      <c r="C88" s="2"/>
      <c r="D88" s="2"/>
      <c r="E88" s="2"/>
      <c r="F88" s="2"/>
      <c r="G88" s="2"/>
      <c r="H88" s="2" t="s">
        <v>164</v>
      </c>
      <c r="I88" s="69">
        <f>'NYE INVESTERINGSTILTAK'!B34</f>
        <v>0.39823382323461454</v>
      </c>
      <c r="J88" s="69">
        <v>0.5</v>
      </c>
      <c r="K88" s="69">
        <f>'NYE INVESTERINGSTILTAK'!J34</f>
        <v>0.39823382323461454</v>
      </c>
      <c r="L88" s="2"/>
      <c r="M88" s="2"/>
      <c r="N88" s="2"/>
      <c r="O88" s="2"/>
      <c r="P88" s="2"/>
    </row>
    <row r="89" spans="3:16" ht="16.5" x14ac:dyDescent="0.3">
      <c r="C89" s="2">
        <v>2027</v>
      </c>
      <c r="D89" s="64" t="s">
        <v>155</v>
      </c>
      <c r="E89" s="2" t="s">
        <v>163</v>
      </c>
      <c r="F89" s="64" t="s">
        <v>159</v>
      </c>
      <c r="G89" s="64" t="s">
        <v>160</v>
      </c>
      <c r="H89" s="2" t="s">
        <v>161</v>
      </c>
      <c r="I89" s="63" t="str">
        <f>"Kommunedirektørens budsjettforslag "&amp;C89</f>
        <v>Kommunedirektørens budsjettforslag 2027</v>
      </c>
      <c r="J89" s="2" t="s">
        <v>162</v>
      </c>
      <c r="K89" s="2" t="str">
        <f>FORSIDE!$B$2&amp;"s budsjettforslag "&amp;C89</f>
        <v>Skriv inn gruppes budsjettforslag 2027</v>
      </c>
      <c r="L89" s="2"/>
      <c r="M89" s="2"/>
      <c r="N89" s="2"/>
      <c r="O89" s="2"/>
      <c r="P89" s="2"/>
    </row>
    <row r="90" spans="3:16" ht="16.5" x14ac:dyDescent="0.3">
      <c r="C90" s="2" t="s">
        <v>157</v>
      </c>
      <c r="D90" s="29">
        <f>'NYE DRIFTSTILTAK'!C31</f>
        <v>2.0425566013986967E-2</v>
      </c>
      <c r="E90" s="29">
        <f>'NYE DRIFTSTILTAK'!K30/'NYE DRIFTSTILTAK'!K13</f>
        <v>2.0425566013986967E-2</v>
      </c>
      <c r="F90" s="27">
        <v>0.02</v>
      </c>
      <c r="G90" s="27">
        <v>-0.05</v>
      </c>
      <c r="H90" s="2" t="str">
        <f>C90</f>
        <v>Netto driftsresultat i prosent av driftsinntektene</v>
      </c>
      <c r="I90" s="69">
        <f>(D90-G90)/(F90-G90)</f>
        <v>1.0060795144855281</v>
      </c>
      <c r="J90" s="65">
        <v>1</v>
      </c>
      <c r="K90" s="65">
        <f>IF(FORSIDE!$B$2="","",(E90-G90)/(F90-G90))</f>
        <v>1.0060795144855281</v>
      </c>
      <c r="L90" s="2"/>
      <c r="M90" s="3"/>
      <c r="N90" s="3" t="s">
        <v>168</v>
      </c>
      <c r="O90" s="3" t="s">
        <v>166</v>
      </c>
      <c r="P90" s="3" t="str">
        <f>P85</f>
        <v>Skriv inn gruppe</v>
      </c>
    </row>
    <row r="91" spans="3:16" ht="16.5" x14ac:dyDescent="0.3">
      <c r="C91" s="2" t="s">
        <v>158</v>
      </c>
      <c r="D91" s="28">
        <f>L71</f>
        <v>0.72827548773324524</v>
      </c>
      <c r="E91" s="28">
        <f>'BEREGNING NØKKELTALL'!Q71</f>
        <v>0.72827548773324524</v>
      </c>
      <c r="F91" s="27">
        <v>0.75</v>
      </c>
      <c r="G91" s="27">
        <v>1.2</v>
      </c>
      <c r="H91" s="2" t="str">
        <f>C91</f>
        <v>Netto renteeksponert gjeld i prosent av driftsinntektene</v>
      </c>
      <c r="I91" s="69">
        <f>(D91-G91)/(F91-G91)</f>
        <v>1.0482766939261217</v>
      </c>
      <c r="J91" s="65">
        <v>1</v>
      </c>
      <c r="K91" s="65">
        <f>IF(FORSIDE!$B$2="","",(E91-G91)/(F91-G91))</f>
        <v>1.0482766939261217</v>
      </c>
      <c r="L91" s="2"/>
      <c r="M91" s="3"/>
      <c r="N91" s="3" t="s">
        <v>165</v>
      </c>
      <c r="O91" s="65">
        <f>I93</f>
        <v>0.37222237113678402</v>
      </c>
      <c r="P91" s="65">
        <f>K93</f>
        <v>0.37222237113678402</v>
      </c>
    </row>
    <row r="92" spans="3:16" ht="16.5" x14ac:dyDescent="0.3">
      <c r="C92" s="2" t="s">
        <v>156</v>
      </c>
      <c r="D92" s="28">
        <f>L72</f>
        <v>7.8329879808255648E-2</v>
      </c>
      <c r="E92" s="28">
        <f>'BEREGNING NØKKELTALL'!Q72</f>
        <v>7.8329879808255648E-2</v>
      </c>
      <c r="F92" s="27">
        <v>0.1</v>
      </c>
      <c r="G92" s="27">
        <v>0</v>
      </c>
      <c r="H92" s="2" t="str">
        <f>C92</f>
        <v>Dispsisjonsfond i prosent av driftsinntektene</v>
      </c>
      <c r="I92" s="69">
        <f>(D92-G92)/(F92-G92)</f>
        <v>0.78329879808255642</v>
      </c>
      <c r="J92" s="65">
        <v>1</v>
      </c>
      <c r="K92" s="65">
        <f>IF(FORSIDE!$B$2="","",(E92-G92)/(F92-G92))</f>
        <v>0.78329879808255642</v>
      </c>
      <c r="L92" s="2"/>
      <c r="M92" s="3"/>
      <c r="N92" s="3" t="s">
        <v>167</v>
      </c>
      <c r="O92" s="65">
        <f>1-O91</f>
        <v>0.62777762886321598</v>
      </c>
      <c r="P92" s="65">
        <f>1-P91</f>
        <v>0.62777762886321598</v>
      </c>
    </row>
    <row r="93" spans="3:16" ht="16.5" x14ac:dyDescent="0.3">
      <c r="C93" s="2"/>
      <c r="D93" s="2"/>
      <c r="E93" s="2"/>
      <c r="F93" s="2"/>
      <c r="G93" s="2"/>
      <c r="H93" s="2" t="s">
        <v>164</v>
      </c>
      <c r="I93" s="69">
        <f>'NYE INVESTERINGSTILTAK'!C34</f>
        <v>0.37222237113678402</v>
      </c>
      <c r="J93" s="69">
        <v>0.5</v>
      </c>
      <c r="K93" s="69">
        <f>'NYE INVESTERINGSTILTAK'!K34</f>
        <v>0.37222237113678402</v>
      </c>
      <c r="L93" s="2"/>
      <c r="M93" s="2"/>
      <c r="N93" s="2"/>
      <c r="O93" s="2"/>
      <c r="P93" s="2"/>
    </row>
    <row r="94" spans="3:16" ht="16.5" x14ac:dyDescent="0.3">
      <c r="C94" s="2">
        <v>2028</v>
      </c>
      <c r="D94" s="64" t="s">
        <v>155</v>
      </c>
      <c r="E94" s="2" t="s">
        <v>163</v>
      </c>
      <c r="F94" s="64" t="s">
        <v>159</v>
      </c>
      <c r="G94" s="64" t="s">
        <v>160</v>
      </c>
      <c r="H94" s="2" t="s">
        <v>161</v>
      </c>
      <c r="I94" s="63" t="str">
        <f>"Kommunedirektørens budsjettforslag "&amp;C94</f>
        <v>Kommunedirektørens budsjettforslag 2028</v>
      </c>
      <c r="J94" s="2" t="s">
        <v>162</v>
      </c>
      <c r="K94" s="2" t="str">
        <f>FORSIDE!$B$2&amp;"s budsjettforslag "&amp;C94</f>
        <v>Skriv inn gruppes budsjettforslag 2028</v>
      </c>
      <c r="L94" s="2"/>
      <c r="M94" s="2"/>
      <c r="N94" s="2"/>
      <c r="O94" s="2"/>
      <c r="P94" s="2"/>
    </row>
    <row r="95" spans="3:16" ht="16.5" x14ac:dyDescent="0.3">
      <c r="C95" s="2" t="s">
        <v>157</v>
      </c>
      <c r="D95" s="29">
        <f>'NYE DRIFTSTILTAK'!D31</f>
        <v>2.5644846870037107E-2</v>
      </c>
      <c r="E95" s="29">
        <f>'NYE DRIFTSTILTAK'!L30/'NYE DRIFTSTILTAK'!L13</f>
        <v>2.5644846870037107E-2</v>
      </c>
      <c r="F95" s="27">
        <v>0.02</v>
      </c>
      <c r="G95" s="27">
        <v>-0.05</v>
      </c>
      <c r="H95" s="2" t="str">
        <f>C95</f>
        <v>Netto driftsresultat i prosent av driftsinntektene</v>
      </c>
      <c r="I95" s="69">
        <f>(D95-G95)/(F95-G95)</f>
        <v>1.0806406695719586</v>
      </c>
      <c r="J95" s="65">
        <v>1</v>
      </c>
      <c r="K95" s="65">
        <f>IF(FORSIDE!$B$2="","",(E95-G95)/(F95-G95))</f>
        <v>1.0806406695719586</v>
      </c>
      <c r="L95" s="2"/>
      <c r="M95" s="3"/>
      <c r="N95" s="3" t="s">
        <v>168</v>
      </c>
      <c r="O95" s="3" t="s">
        <v>166</v>
      </c>
      <c r="P95" s="3" t="str">
        <f>P90</f>
        <v>Skriv inn gruppe</v>
      </c>
    </row>
    <row r="96" spans="3:16" ht="16.5" x14ac:dyDescent="0.3">
      <c r="C96" s="2" t="s">
        <v>158</v>
      </c>
      <c r="D96" s="121">
        <f>M71</f>
        <v>0.69853756933938482</v>
      </c>
      <c r="E96" s="121">
        <f>'BEREGNING NØKKELTALL'!R71</f>
        <v>0.69853756933938482</v>
      </c>
      <c r="F96" s="27">
        <v>0.75</v>
      </c>
      <c r="G96" s="27">
        <v>1.2</v>
      </c>
      <c r="H96" s="2" t="str">
        <f>C96</f>
        <v>Netto renteeksponert gjeld i prosent av driftsinntektene</v>
      </c>
      <c r="I96" s="69">
        <f>(D96-G96)/(F96-G96)</f>
        <v>1.1143609570235893</v>
      </c>
      <c r="J96" s="65">
        <v>1</v>
      </c>
      <c r="K96" s="65">
        <f>IF(FORSIDE!$B$2="","",(E96-G96)/(F96-G96))</f>
        <v>1.1143609570235893</v>
      </c>
      <c r="L96" s="2"/>
      <c r="M96" s="3"/>
      <c r="N96" s="3" t="s">
        <v>165</v>
      </c>
      <c r="O96" s="65">
        <f>I98</f>
        <v>0.48907686072507162</v>
      </c>
      <c r="P96" s="65">
        <f>K98</f>
        <v>0.48907686072507162</v>
      </c>
    </row>
    <row r="97" spans="3:16" ht="16.5" x14ac:dyDescent="0.3">
      <c r="C97" s="2" t="s">
        <v>156</v>
      </c>
      <c r="D97" s="28">
        <f>M72</f>
        <v>9.1535514560329975E-2</v>
      </c>
      <c r="E97" s="28">
        <f>'BEREGNING NØKKELTALL'!R72</f>
        <v>9.1535514560329975E-2</v>
      </c>
      <c r="F97" s="27">
        <v>0.1</v>
      </c>
      <c r="G97" s="27">
        <v>0</v>
      </c>
      <c r="H97" s="2" t="str">
        <f>C97</f>
        <v>Dispsisjonsfond i prosent av driftsinntektene</v>
      </c>
      <c r="I97" s="69">
        <f>(D97-G97)/(F97-G97)</f>
        <v>0.91535514560329967</v>
      </c>
      <c r="J97" s="65">
        <v>1</v>
      </c>
      <c r="K97" s="65">
        <f>IF(FORSIDE!$B$2="","",(E97-G97)/(F97-G97))</f>
        <v>0.91535514560329967</v>
      </c>
      <c r="L97" s="2"/>
      <c r="M97" s="3"/>
      <c r="N97" s="3" t="s">
        <v>167</v>
      </c>
      <c r="O97" s="65">
        <f>1-O96</f>
        <v>0.51092313927492838</v>
      </c>
      <c r="P97" s="65">
        <f>1-P96</f>
        <v>0.51092313927492838</v>
      </c>
    </row>
    <row r="98" spans="3:16" ht="16.5" x14ac:dyDescent="0.3">
      <c r="C98" s="2"/>
      <c r="D98" s="2"/>
      <c r="E98" s="2"/>
      <c r="F98" s="2"/>
      <c r="G98" s="2"/>
      <c r="H98" s="2" t="s">
        <v>164</v>
      </c>
      <c r="I98" s="69">
        <f>'NYE INVESTERINGSTILTAK'!D34</f>
        <v>0.48907686072507162</v>
      </c>
      <c r="J98" s="69">
        <v>0.5</v>
      </c>
      <c r="K98" s="69">
        <f>'NYE INVESTERINGSTILTAK'!L34</f>
        <v>0.48907686072507162</v>
      </c>
      <c r="L98" s="2"/>
      <c r="M98" s="2"/>
      <c r="N98" s="2"/>
      <c r="O98" s="2"/>
      <c r="P98" s="2"/>
    </row>
    <row r="99" spans="3:16" ht="16.5" x14ac:dyDescent="0.3">
      <c r="C99" s="2">
        <v>2029</v>
      </c>
      <c r="D99" s="64" t="s">
        <v>155</v>
      </c>
      <c r="E99" s="2" t="s">
        <v>163</v>
      </c>
      <c r="F99" s="64" t="s">
        <v>159</v>
      </c>
      <c r="G99" s="64" t="s">
        <v>160</v>
      </c>
      <c r="H99" s="2" t="s">
        <v>161</v>
      </c>
      <c r="I99" s="63" t="str">
        <f>"Kommunedirektørens budsjettforslag "&amp;C99</f>
        <v>Kommunedirektørens budsjettforslag 2029</v>
      </c>
      <c r="J99" s="2" t="s">
        <v>162</v>
      </c>
      <c r="K99" s="2" t="str">
        <f>FORSIDE!$B$2&amp;"s budsjettforslag "&amp;C99</f>
        <v>Skriv inn gruppes budsjettforslag 2029</v>
      </c>
      <c r="L99" s="2"/>
      <c r="M99" s="2"/>
      <c r="N99" s="2"/>
      <c r="O99" s="2"/>
      <c r="P99" s="2"/>
    </row>
    <row r="100" spans="3:16" ht="16.5" x14ac:dyDescent="0.3">
      <c r="C100" s="2" t="s">
        <v>157</v>
      </c>
      <c r="D100" s="29">
        <f>'NYE DRIFTSTILTAK'!E31</f>
        <v>2.8935450821209081E-2</v>
      </c>
      <c r="E100" s="29">
        <f>'NYE DRIFTSTILTAK'!M30/'NYE DRIFTSTILTAK'!M13</f>
        <v>2.8935450821209081E-2</v>
      </c>
      <c r="F100" s="27">
        <v>0.02</v>
      </c>
      <c r="G100" s="27">
        <v>-0.05</v>
      </c>
      <c r="H100" s="2" t="str">
        <f>C100</f>
        <v>Netto driftsresultat i prosent av driftsinntektene</v>
      </c>
      <c r="I100" s="69">
        <f>(D100-G100)/(F100-G100)</f>
        <v>1.1276492974458441</v>
      </c>
      <c r="J100" s="65">
        <v>1</v>
      </c>
      <c r="K100" s="65">
        <f>IF(FORSIDE!$B$2="","",(E100-G100)/(F100-G100))</f>
        <v>1.1276492974458441</v>
      </c>
      <c r="L100" s="2"/>
      <c r="M100" s="3"/>
      <c r="N100" s="3" t="s">
        <v>168</v>
      </c>
      <c r="O100" s="3" t="s">
        <v>166</v>
      </c>
      <c r="P100" s="3" t="str">
        <f>P95</f>
        <v>Skriv inn gruppe</v>
      </c>
    </row>
    <row r="101" spans="3:16" ht="16.5" x14ac:dyDescent="0.3">
      <c r="C101" s="2" t="s">
        <v>158</v>
      </c>
      <c r="D101" s="28">
        <f>N71</f>
        <v>0.69702942672120893</v>
      </c>
      <c r="E101" s="28">
        <f>'BEREGNING NØKKELTALL'!S71</f>
        <v>0.69702942672120893</v>
      </c>
      <c r="F101" s="27">
        <v>0.75</v>
      </c>
      <c r="G101" s="27">
        <v>1.2</v>
      </c>
      <c r="H101" s="2" t="str">
        <f>C101</f>
        <v>Netto renteeksponert gjeld i prosent av driftsinntektene</v>
      </c>
      <c r="I101" s="69">
        <f>(D101-G101)/(F101-G101)</f>
        <v>1.1177123850639801</v>
      </c>
      <c r="J101" s="65">
        <v>1</v>
      </c>
      <c r="K101" s="65">
        <f>IF(FORSIDE!$B$2="","",(E101-G101)/(F101-G101))</f>
        <v>1.1177123850639801</v>
      </c>
      <c r="L101" s="2"/>
      <c r="M101" s="3"/>
      <c r="N101" s="3" t="s">
        <v>165</v>
      </c>
      <c r="O101" s="65">
        <f>I103</f>
        <v>0.49022013528009922</v>
      </c>
      <c r="P101" s="65">
        <f>K103</f>
        <v>0.49022013528009922</v>
      </c>
    </row>
    <row r="102" spans="3:16" ht="16.5" x14ac:dyDescent="0.3">
      <c r="C102" s="2" t="s">
        <v>156</v>
      </c>
      <c r="D102" s="28">
        <f>N72</f>
        <v>0.10471559569722143</v>
      </c>
      <c r="E102" s="28">
        <f>'BEREGNING NØKKELTALL'!S72</f>
        <v>0.10471559569722143</v>
      </c>
      <c r="F102" s="27">
        <v>0.1</v>
      </c>
      <c r="G102" s="27">
        <v>0</v>
      </c>
      <c r="H102" s="2" t="str">
        <f>C102</f>
        <v>Dispsisjonsfond i prosent av driftsinntektene</v>
      </c>
      <c r="I102" s="69">
        <f>(D102-G102)/(F102-G102)</f>
        <v>1.0471559569722142</v>
      </c>
      <c r="J102" s="65">
        <v>1</v>
      </c>
      <c r="K102" s="65">
        <f>IF(FORSIDE!$B$2="","",(E102-G102)/(F102-G102))</f>
        <v>1.0471559569722142</v>
      </c>
      <c r="L102" s="2"/>
      <c r="M102" s="3"/>
      <c r="N102" s="3" t="s">
        <v>167</v>
      </c>
      <c r="O102" s="65">
        <f>1-O101</f>
        <v>0.50977986471990078</v>
      </c>
      <c r="P102" s="65">
        <f>1-P101</f>
        <v>0.50977986471990078</v>
      </c>
    </row>
    <row r="103" spans="3:16" ht="16.5" x14ac:dyDescent="0.3">
      <c r="C103" s="2"/>
      <c r="D103" s="2"/>
      <c r="E103" s="2"/>
      <c r="F103" s="2"/>
      <c r="G103" s="2"/>
      <c r="H103" s="2" t="s">
        <v>164</v>
      </c>
      <c r="I103" s="69">
        <f>'NYE INVESTERINGSTILTAK'!E34</f>
        <v>0.49022013528009922</v>
      </c>
      <c r="J103" s="69">
        <v>0.5</v>
      </c>
      <c r="K103" s="69">
        <f>'NYE INVESTERINGSTILTAK'!M34</f>
        <v>0.49022013528009922</v>
      </c>
      <c r="L103" s="2"/>
      <c r="M103" s="2"/>
      <c r="N103" s="2"/>
      <c r="O103" s="2"/>
      <c r="P103" s="2"/>
    </row>
  </sheetData>
  <phoneticPr fontId="2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E3A0FEDF16E0408AECA2004574723F" ma:contentTypeVersion="17" ma:contentTypeDescription="Opprett et nytt dokument." ma:contentTypeScope="" ma:versionID="f989c67f153de9d12672c91b4e00f6f6">
  <xsd:schema xmlns:xsd="http://www.w3.org/2001/XMLSchema" xmlns:xs="http://www.w3.org/2001/XMLSchema" xmlns:p="http://schemas.microsoft.com/office/2006/metadata/properties" xmlns:ns2="08750672-5d0c-4362-ab7c-ccf9e9478bf5" xmlns:ns3="d8f27841-3b56-436a-a8b3-b7b13b7b3a12" targetNamespace="http://schemas.microsoft.com/office/2006/metadata/properties" ma:root="true" ma:fieldsID="96c3d169e29cd6deed09995790b18f49" ns2:_="" ns3:_="">
    <xsd:import namespace="08750672-5d0c-4362-ab7c-ccf9e9478bf5"/>
    <xsd:import namespace="d8f27841-3b56-436a-a8b3-b7b13b7b3a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50672-5d0c-4362-ab7c-ccf9e9478b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89a2bc51-5927-4d3b-9c82-916e2d968c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27841-3b56-436a-a8b3-b7b13b7b3a1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bded26a-106c-47a3-9707-a665e85bde92}" ma:internalName="TaxCatchAll" ma:showField="CatchAllData" ma:web="d8f27841-3b56-436a-a8b3-b7b13b7b3a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8f27841-3b56-436a-a8b3-b7b13b7b3a12">
      <UserInfo>
        <DisplayName/>
        <AccountId xsi:nil="true"/>
        <AccountType/>
      </UserInfo>
    </SharedWithUsers>
    <TaxCatchAll xmlns="d8f27841-3b56-436a-a8b3-b7b13b7b3a12" xsi:nil="true"/>
    <lcf76f155ced4ddcb4097134ff3c332f xmlns="08750672-5d0c-4362-ab7c-ccf9e9478b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54F823-D1AF-456A-98FF-9CA47DA6DC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5C42D9-70A7-4046-A80B-FDD01C7893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750672-5d0c-4362-ab7c-ccf9e9478bf5"/>
    <ds:schemaRef ds:uri="d8f27841-3b56-436a-a8b3-b7b13b7b3a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20BD3F-AC57-496D-AFA8-51C4103D1EDD}">
  <ds:schemaRefs>
    <ds:schemaRef ds:uri="http://purl.org/dc/elements/1.1/"/>
    <ds:schemaRef ds:uri="http://schemas.microsoft.com/office/2006/metadata/properties"/>
    <ds:schemaRef ds:uri="08750672-5d0c-4362-ab7c-ccf9e9478bf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d8f27841-3b56-436a-a8b3-b7b13b7b3a1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4</vt:i4>
      </vt:variant>
    </vt:vector>
  </HeadingPairs>
  <TitlesOfParts>
    <vt:vector size="11" baseType="lpstr">
      <vt:lpstr>FORSIDE</vt:lpstr>
      <vt:lpstr>NYE DRIFTSTILTAK</vt:lpstr>
      <vt:lpstr>NYE INVESTERINGSTILTAK</vt:lpstr>
      <vt:lpstr>KOMMUNEDIREKTØRENS DRIFTSTILTAK</vt:lpstr>
      <vt:lpstr>KOMMUNEDIR. INVESTERINGSTILTAK</vt:lpstr>
      <vt:lpstr>DATA</vt:lpstr>
      <vt:lpstr>BEREGNING NØKKELTALL</vt:lpstr>
      <vt:lpstr>BUDSJETTRENTE2022</vt:lpstr>
      <vt:lpstr>BUDSJETTRENTE2023</vt:lpstr>
      <vt:lpstr>BUDSJETTRENTE2024</vt:lpstr>
      <vt:lpstr>BUDSJETTRENTE2025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Helge Lassa Vedøy</dc:creator>
  <cp:keywords/>
  <dc:description/>
  <cp:lastModifiedBy>Mohammed Alabbasi</cp:lastModifiedBy>
  <cp:revision/>
  <cp:lastPrinted>2022-11-09T12:31:36Z</cp:lastPrinted>
  <dcterms:created xsi:type="dcterms:W3CDTF">2021-11-11T09:01:53Z</dcterms:created>
  <dcterms:modified xsi:type="dcterms:W3CDTF">2025-10-24T16:17:59Z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0x01010007E3A0FEDF16E0408AECA2004574723F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